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לימודיות 2026\סמסטר ב\אקסל סמס אביב לימודיה 26\"/>
    </mc:Choice>
  </mc:AlternateContent>
  <xr:revisionPtr revIDLastSave="0" documentId="8_{AA2FFB19-570B-4615-AC97-B2C0AB6E234C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עסקאות" sheetId="1" r:id="rId1"/>
    <sheet name="נתוני עזר" sheetId="3" r:id="rId2"/>
  </sheets>
  <definedNames>
    <definedName name="_xlnm._FilterDatabase" localSheetId="0" hidden="1">עסקאות!$B$4:$B$66</definedName>
    <definedName name="sen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3" i="1" l="1"/>
  <c r="L82" i="1"/>
  <c r="K75" i="1"/>
  <c r="K76" i="1"/>
  <c r="K77" i="1"/>
  <c r="K78" i="1"/>
  <c r="K79" i="1"/>
  <c r="K74" i="1"/>
  <c r="K73" i="1"/>
  <c r="K36" i="1"/>
  <c r="M32" i="1"/>
  <c r="J25" i="1"/>
  <c r="K15" i="1"/>
  <c r="O6" i="1" a="1"/>
  <c r="O6" i="1" s="1"/>
  <c r="O7" i="1" a="1"/>
  <c r="O7" i="1" s="1"/>
  <c r="O8" i="1" a="1"/>
  <c r="O8" i="1" s="1"/>
  <c r="O9" i="1" a="1"/>
  <c r="O9" i="1" s="1"/>
  <c r="O10" i="1" a="1"/>
  <c r="O10" i="1" s="1"/>
  <c r="O11" i="1" a="1"/>
  <c r="O11" i="1" s="1"/>
  <c r="O12" i="1" a="1"/>
  <c r="O12" i="1" s="1"/>
  <c r="O13" i="1" a="1"/>
  <c r="O13" i="1" s="1"/>
  <c r="O14" i="1" a="1"/>
  <c r="O14" i="1" s="1"/>
  <c r="O15" i="1" a="1"/>
  <c r="O15" i="1" s="1"/>
  <c r="O16" i="1" a="1"/>
  <c r="O16" i="1" s="1"/>
  <c r="O17" i="1" a="1"/>
  <c r="O17" i="1" s="1"/>
  <c r="O18" i="1" a="1"/>
  <c r="O18" i="1" s="1"/>
  <c r="O19" i="1" a="1"/>
  <c r="O19" i="1" s="1"/>
  <c r="O20" i="1" a="1"/>
  <c r="O20" i="1" s="1"/>
  <c r="O21" i="1" a="1"/>
  <c r="O21" i="1" s="1"/>
  <c r="O22" i="1" a="1"/>
  <c r="O22" i="1" s="1"/>
  <c r="O23" i="1" a="1"/>
  <c r="O23" i="1" s="1"/>
  <c r="O24" i="1" a="1"/>
  <c r="O24" i="1" s="1"/>
  <c r="O25" i="1" a="1"/>
  <c r="O25" i="1" s="1"/>
  <c r="O26" i="1" a="1"/>
  <c r="O26" i="1" s="1"/>
  <c r="O27" i="1" a="1"/>
  <c r="O27" i="1" s="1"/>
  <c r="O28" i="1" a="1"/>
  <c r="O28" i="1" s="1"/>
  <c r="O29" i="1" a="1"/>
  <c r="O29" i="1" s="1"/>
  <c r="O30" i="1" a="1"/>
  <c r="O30" i="1" s="1"/>
  <c r="O31" i="1" a="1"/>
  <c r="O31" i="1" s="1"/>
  <c r="O32" i="1" a="1"/>
  <c r="O32" i="1" s="1"/>
  <c r="O33" i="1" a="1"/>
  <c r="O33" i="1" s="1"/>
  <c r="O34" i="1" a="1"/>
  <c r="O34" i="1" s="1"/>
  <c r="O35" i="1" a="1"/>
  <c r="O35" i="1" s="1"/>
  <c r="O36" i="1" a="1"/>
  <c r="O36" i="1" s="1"/>
  <c r="O37" i="1" a="1"/>
  <c r="O37" i="1" s="1"/>
  <c r="O38" i="1" a="1"/>
  <c r="O38" i="1" s="1"/>
  <c r="O39" i="1" a="1"/>
  <c r="O39" i="1" s="1"/>
  <c r="O40" i="1" a="1"/>
  <c r="O40" i="1" s="1"/>
  <c r="O41" i="1" a="1"/>
  <c r="O41" i="1" s="1"/>
  <c r="O42" i="1" a="1"/>
  <c r="O42" i="1" s="1"/>
  <c r="O43" i="1" a="1"/>
  <c r="O43" i="1" s="1"/>
  <c r="O44" i="1" a="1"/>
  <c r="O44" i="1" s="1"/>
  <c r="O45" i="1" a="1"/>
  <c r="O45" i="1" s="1"/>
  <c r="O46" i="1" a="1"/>
  <c r="O46" i="1" s="1"/>
  <c r="O47" i="1" a="1"/>
  <c r="O47" i="1" s="1"/>
  <c r="O48" i="1" a="1"/>
  <c r="O48" i="1" s="1"/>
  <c r="O49" i="1" a="1"/>
  <c r="O49" i="1" s="1"/>
  <c r="O50" i="1" a="1"/>
  <c r="O50" i="1" s="1"/>
  <c r="O51" i="1" a="1"/>
  <c r="O51" i="1" s="1"/>
  <c r="O52" i="1" a="1"/>
  <c r="O52" i="1" s="1"/>
  <c r="O53" i="1" a="1"/>
  <c r="O53" i="1" s="1"/>
  <c r="O54" i="1" a="1"/>
  <c r="O54" i="1" s="1"/>
  <c r="O55" i="1" a="1"/>
  <c r="O55" i="1" s="1"/>
  <c r="O56" i="1" a="1"/>
  <c r="O56" i="1" s="1"/>
  <c r="O57" i="1" a="1"/>
  <c r="O57" i="1" s="1"/>
  <c r="O58" i="1" a="1"/>
  <c r="O58" i="1" s="1"/>
  <c r="O59" i="1" a="1"/>
  <c r="O59" i="1" s="1"/>
  <c r="O60" i="1" a="1"/>
  <c r="O60" i="1" s="1"/>
  <c r="O61" i="1" a="1"/>
  <c r="O61" i="1" s="1"/>
  <c r="O62" i="1" a="1"/>
  <c r="O62" i="1" s="1"/>
  <c r="O63" i="1" a="1"/>
  <c r="O63" i="1" s="1"/>
  <c r="O64" i="1" a="1"/>
  <c r="O64" i="1" s="1"/>
  <c r="O65" i="1" a="1"/>
  <c r="O65" i="1" s="1"/>
  <c r="O66" i="1" a="1"/>
  <c r="O66" i="1" s="1"/>
  <c r="O5" i="1" a="1"/>
  <c r="O5" i="1" s="1"/>
  <c r="U6" i="1"/>
  <c r="P6" i="1" s="1"/>
  <c r="U7" i="1"/>
  <c r="P7" i="1" s="1"/>
  <c r="U8" i="1"/>
  <c r="P8" i="1" s="1"/>
  <c r="U9" i="1"/>
  <c r="P9" i="1" s="1"/>
  <c r="U10" i="1"/>
  <c r="P10" i="1" s="1"/>
  <c r="U11" i="1"/>
  <c r="U12" i="1"/>
  <c r="P12" i="1" s="1"/>
  <c r="U13" i="1"/>
  <c r="U14" i="1"/>
  <c r="P14" i="1" s="1"/>
  <c r="U15" i="1"/>
  <c r="P15" i="1" s="1"/>
  <c r="U16" i="1"/>
  <c r="U17" i="1"/>
  <c r="P17" i="1" s="1"/>
  <c r="U18" i="1"/>
  <c r="P18" i="1" s="1"/>
  <c r="U19" i="1"/>
  <c r="P19" i="1" s="1"/>
  <c r="U20" i="1"/>
  <c r="P20" i="1" s="1"/>
  <c r="U21" i="1"/>
  <c r="P21" i="1" s="1"/>
  <c r="U22" i="1"/>
  <c r="P22" i="1" s="1"/>
  <c r="U23" i="1"/>
  <c r="P23" i="1" s="1"/>
  <c r="U24" i="1"/>
  <c r="P24" i="1" s="1"/>
  <c r="U25" i="1"/>
  <c r="P25" i="1" s="1"/>
  <c r="U26" i="1"/>
  <c r="P26" i="1" s="1"/>
  <c r="U27" i="1"/>
  <c r="P27" i="1" s="1"/>
  <c r="U28" i="1"/>
  <c r="P28" i="1" s="1"/>
  <c r="U29" i="1"/>
  <c r="P29" i="1" s="1"/>
  <c r="U30" i="1"/>
  <c r="P30" i="1" s="1"/>
  <c r="U31" i="1"/>
  <c r="P31" i="1" s="1"/>
  <c r="U32" i="1"/>
  <c r="U33" i="1"/>
  <c r="P33" i="1" s="1"/>
  <c r="U34" i="1"/>
  <c r="P34" i="1" s="1"/>
  <c r="U35" i="1"/>
  <c r="P35" i="1" s="1"/>
  <c r="U36" i="1"/>
  <c r="P36" i="1" s="1"/>
  <c r="U37" i="1"/>
  <c r="P37" i="1" s="1"/>
  <c r="U38" i="1"/>
  <c r="P38" i="1" s="1"/>
  <c r="U39" i="1"/>
  <c r="P39" i="1" s="1"/>
  <c r="U40" i="1"/>
  <c r="P40" i="1" s="1"/>
  <c r="U41" i="1"/>
  <c r="P41" i="1" s="1"/>
  <c r="U42" i="1"/>
  <c r="P42" i="1" s="1"/>
  <c r="U43" i="1"/>
  <c r="U44" i="1"/>
  <c r="P44" i="1" s="1"/>
  <c r="U45" i="1"/>
  <c r="P45" i="1" s="1"/>
  <c r="U46" i="1"/>
  <c r="P46" i="1" s="1"/>
  <c r="U47" i="1"/>
  <c r="P47" i="1" s="1"/>
  <c r="U48" i="1"/>
  <c r="P48" i="1" s="1"/>
  <c r="U49" i="1"/>
  <c r="P49" i="1" s="1"/>
  <c r="U50" i="1"/>
  <c r="P50" i="1" s="1"/>
  <c r="U51" i="1"/>
  <c r="P51" i="1" s="1"/>
  <c r="U52" i="1"/>
  <c r="P52" i="1" s="1"/>
  <c r="U53" i="1"/>
  <c r="P53" i="1" s="1"/>
  <c r="U54" i="1"/>
  <c r="P54" i="1" s="1"/>
  <c r="U55" i="1"/>
  <c r="P55" i="1" s="1"/>
  <c r="U56" i="1"/>
  <c r="P56" i="1" s="1"/>
  <c r="U57" i="1"/>
  <c r="P57" i="1" s="1"/>
  <c r="U58" i="1"/>
  <c r="P58" i="1" s="1"/>
  <c r="U59" i="1"/>
  <c r="P59" i="1" s="1"/>
  <c r="U60" i="1"/>
  <c r="P60" i="1" s="1"/>
  <c r="U61" i="1"/>
  <c r="U62" i="1"/>
  <c r="P62" i="1" s="1"/>
  <c r="U63" i="1"/>
  <c r="U64" i="1"/>
  <c r="P64" i="1" s="1"/>
  <c r="U65" i="1"/>
  <c r="U66" i="1"/>
  <c r="P66" i="1" s="1"/>
  <c r="U5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P32" i="1" s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S5" i="1"/>
  <c r="P5" i="1" s="1"/>
  <c r="S6" i="1"/>
  <c r="S7" i="1"/>
  <c r="S8" i="1"/>
  <c r="S9" i="1"/>
  <c r="S10" i="1"/>
  <c r="S11" i="1"/>
  <c r="P11" i="1" s="1"/>
  <c r="S12" i="1"/>
  <c r="S13" i="1"/>
  <c r="P13" i="1" s="1"/>
  <c r="S14" i="1"/>
  <c r="S15" i="1"/>
  <c r="S16" i="1"/>
  <c r="P16" i="1" s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P43" i="1" s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P61" i="1" s="1"/>
  <c r="S62" i="1"/>
  <c r="S63" i="1"/>
  <c r="P63" i="1" s="1"/>
  <c r="S64" i="1"/>
  <c r="S65" i="1"/>
  <c r="P65" i="1" s="1"/>
  <c r="S66" i="1"/>
  <c r="Z7" i="1"/>
  <c r="Z10" i="1"/>
  <c r="Z11" i="1"/>
  <c r="Z12" i="1"/>
  <c r="Z13" i="1"/>
  <c r="Z16" i="1"/>
  <c r="Z17" i="1"/>
  <c r="Z18" i="1"/>
  <c r="Z20" i="1"/>
  <c r="Z23" i="1"/>
  <c r="Z26" i="1"/>
  <c r="Z27" i="1"/>
  <c r="Z30" i="1"/>
  <c r="Z32" i="1"/>
  <c r="Z34" i="1"/>
  <c r="Z35" i="1"/>
  <c r="Z36" i="1"/>
  <c r="Z37" i="1"/>
  <c r="Z40" i="1"/>
  <c r="Z42" i="1"/>
  <c r="Z43" i="1"/>
  <c r="Z46" i="1"/>
  <c r="Z47" i="1"/>
  <c r="Z50" i="1"/>
  <c r="Z51" i="1"/>
  <c r="Z53" i="1"/>
  <c r="Z56" i="1"/>
  <c r="Z58" i="1"/>
  <c r="Z59" i="1"/>
  <c r="Z61" i="1"/>
  <c r="Z62" i="1"/>
  <c r="Z65" i="1"/>
  <c r="AC5" i="1"/>
  <c r="AC6" i="1"/>
  <c r="AC7" i="1"/>
  <c r="AC8" i="1"/>
  <c r="AC9" i="1"/>
  <c r="Z9" i="1" s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Z22" i="1" s="1"/>
  <c r="AC23" i="1"/>
  <c r="AC24" i="1"/>
  <c r="AC25" i="1"/>
  <c r="AC26" i="1"/>
  <c r="AC27" i="1"/>
  <c r="AC28" i="1"/>
  <c r="Z28" i="1" s="1"/>
  <c r="AC29" i="1"/>
  <c r="Z29" i="1" s="1"/>
  <c r="AC30" i="1"/>
  <c r="AC31" i="1"/>
  <c r="Z31" i="1" s="1"/>
  <c r="AC32" i="1"/>
  <c r="AC33" i="1"/>
  <c r="AC34" i="1"/>
  <c r="AC35" i="1"/>
  <c r="AC36" i="1"/>
  <c r="AC37" i="1"/>
  <c r="AC38" i="1"/>
  <c r="AC39" i="1"/>
  <c r="Z39" i="1" s="1"/>
  <c r="AC40" i="1"/>
  <c r="AC41" i="1"/>
  <c r="Z41" i="1" s="1"/>
  <c r="AC42" i="1"/>
  <c r="AC43" i="1"/>
  <c r="AC44" i="1"/>
  <c r="AC45" i="1"/>
  <c r="AC46" i="1"/>
  <c r="AC47" i="1"/>
  <c r="AC48" i="1"/>
  <c r="AC49" i="1"/>
  <c r="Z49" i="1" s="1"/>
  <c r="AC50" i="1"/>
  <c r="AC51" i="1"/>
  <c r="AC52" i="1"/>
  <c r="Z52" i="1" s="1"/>
  <c r="AC53" i="1"/>
  <c r="AC54" i="1"/>
  <c r="AC55" i="1"/>
  <c r="AC56" i="1"/>
  <c r="AC57" i="1"/>
  <c r="Z57" i="1" s="1"/>
  <c r="AC58" i="1"/>
  <c r="AC59" i="1"/>
  <c r="AC60" i="1"/>
  <c r="Z60" i="1" s="1"/>
  <c r="AC61" i="1"/>
  <c r="AC62" i="1"/>
  <c r="AC63" i="1"/>
  <c r="AC64" i="1"/>
  <c r="Z64" i="1" s="1"/>
  <c r="AC65" i="1"/>
  <c r="AC66" i="1"/>
  <c r="AA6" i="1"/>
  <c r="Z6" i="1" s="1"/>
  <c r="AA7" i="1"/>
  <c r="AA8" i="1"/>
  <c r="Z8" i="1" s="1"/>
  <c r="AA9" i="1"/>
  <c r="AA10" i="1"/>
  <c r="AA11" i="1"/>
  <c r="AA12" i="1"/>
  <c r="AA13" i="1"/>
  <c r="AA14" i="1"/>
  <c r="Z14" i="1" s="1"/>
  <c r="AA15" i="1"/>
  <c r="Z15" i="1" s="1"/>
  <c r="AA16" i="1"/>
  <c r="AA17" i="1"/>
  <c r="AA18" i="1"/>
  <c r="AA19" i="1"/>
  <c r="Z19" i="1" s="1"/>
  <c r="AA20" i="1"/>
  <c r="AA21" i="1"/>
  <c r="Z21" i="1" s="1"/>
  <c r="AA22" i="1"/>
  <c r="AA23" i="1"/>
  <c r="AA24" i="1"/>
  <c r="Z24" i="1" s="1"/>
  <c r="AA25" i="1"/>
  <c r="Z25" i="1" s="1"/>
  <c r="AA26" i="1"/>
  <c r="AA27" i="1"/>
  <c r="AA28" i="1"/>
  <c r="AA29" i="1"/>
  <c r="AA30" i="1"/>
  <c r="AA31" i="1"/>
  <c r="AA32" i="1"/>
  <c r="AA33" i="1"/>
  <c r="Z33" i="1" s="1"/>
  <c r="AA34" i="1"/>
  <c r="AA35" i="1"/>
  <c r="AA36" i="1"/>
  <c r="AA37" i="1"/>
  <c r="AA38" i="1"/>
  <c r="Z38" i="1" s="1"/>
  <c r="AA39" i="1"/>
  <c r="AA40" i="1"/>
  <c r="AA41" i="1"/>
  <c r="AA42" i="1"/>
  <c r="AA43" i="1"/>
  <c r="AA44" i="1"/>
  <c r="Z44" i="1" s="1"/>
  <c r="AA45" i="1"/>
  <c r="Z45" i="1" s="1"/>
  <c r="AA46" i="1"/>
  <c r="AA47" i="1"/>
  <c r="AA48" i="1"/>
  <c r="Z48" i="1" s="1"/>
  <c r="AA49" i="1"/>
  <c r="AA50" i="1"/>
  <c r="AA51" i="1"/>
  <c r="AA52" i="1"/>
  <c r="AA53" i="1"/>
  <c r="AA54" i="1"/>
  <c r="Z54" i="1" s="1"/>
  <c r="AA55" i="1"/>
  <c r="Z55" i="1" s="1"/>
  <c r="AA56" i="1"/>
  <c r="AA57" i="1"/>
  <c r="AA58" i="1"/>
  <c r="AA59" i="1"/>
  <c r="AA60" i="1"/>
  <c r="AA61" i="1"/>
  <c r="AA62" i="1"/>
  <c r="AA63" i="1"/>
  <c r="Z63" i="1" s="1"/>
  <c r="AA64" i="1"/>
  <c r="AA65" i="1"/>
  <c r="AA66" i="1"/>
  <c r="Z66" i="1" s="1"/>
  <c r="AA5" i="1"/>
  <c r="Z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<sst xmlns="http://schemas.openxmlformats.org/spreadsheetml/2006/main" count="278" uniqueCount="117">
  <si>
    <t>מספר עסקה</t>
  </si>
  <si>
    <t>עיר</t>
  </si>
  <si>
    <t>כתובת</t>
  </si>
  <si>
    <t>מספר חדרים</t>
  </si>
  <si>
    <t>שטח במ"ר</t>
  </si>
  <si>
    <t>מעלית</t>
  </si>
  <si>
    <t>ראשון לציון</t>
  </si>
  <si>
    <t xml:space="preserve">  אביב  8</t>
  </si>
  <si>
    <t>לא</t>
  </si>
  <si>
    <t>הוד השרון</t>
  </si>
  <si>
    <t>הזורע   4</t>
  </si>
  <si>
    <t>כן</t>
  </si>
  <si>
    <t>כפר סבא</t>
  </si>
  <si>
    <t xml:space="preserve">     איריס 9</t>
  </si>
  <si>
    <t xml:space="preserve"> המאלכה 42</t>
  </si>
  <si>
    <t>באר שבע</t>
  </si>
  <si>
    <t>הסנדר 5</t>
  </si>
  <si>
    <t>בת ים</t>
  </si>
  <si>
    <t xml:space="preserve"> גולני   5</t>
  </si>
  <si>
    <t>טשרניחובסקי  6</t>
  </si>
  <si>
    <t>נתניה</t>
  </si>
  <si>
    <t xml:space="preserve">    רדפת    7</t>
  </si>
  <si>
    <t>חולון</t>
  </si>
  <si>
    <t>החיל   1</t>
  </si>
  <si>
    <t xml:space="preserve">   גולומב   11</t>
  </si>
  <si>
    <t xml:space="preserve">  הגושים   2</t>
  </si>
  <si>
    <t xml:space="preserve">     משה דיין 9</t>
  </si>
  <si>
    <t>קציר   21</t>
  </si>
  <si>
    <t xml:space="preserve">   ביאליק 1</t>
  </si>
  <si>
    <t>סתיו   32</t>
  </si>
  <si>
    <t>משאבים  21</t>
  </si>
  <si>
    <t>הברוש   9</t>
  </si>
  <si>
    <t>התמר   4</t>
  </si>
  <si>
    <t xml:space="preserve">    קרן היסוד  18</t>
  </si>
  <si>
    <t xml:space="preserve">  יצחק רבין  19</t>
  </si>
  <si>
    <t>האלון 9</t>
  </si>
  <si>
    <t>הברוש 6</t>
  </si>
  <si>
    <t>ברנדס   6</t>
  </si>
  <si>
    <t xml:space="preserve">  בר   אילן   8</t>
  </si>
  <si>
    <t>טשרניחובסקי  16</t>
  </si>
  <si>
    <t xml:space="preserve">   הרצל  21</t>
  </si>
  <si>
    <t xml:space="preserve"> הבנים     32</t>
  </si>
  <si>
    <t>הרימון    9</t>
  </si>
  <si>
    <t>ירושלים       14</t>
  </si>
  <si>
    <t>חנקין  6</t>
  </si>
  <si>
    <t>אסירי ציון 13</t>
  </si>
  <si>
    <t>כלנית  19</t>
  </si>
  <si>
    <t xml:space="preserve">  יהודה הלוי   6</t>
  </si>
  <si>
    <t>בורוכוב    15</t>
  </si>
  <si>
    <t>נשר   14</t>
  </si>
  <si>
    <t xml:space="preserve">     איריס    11    </t>
  </si>
  <si>
    <t xml:space="preserve">  מכבי    24</t>
  </si>
  <si>
    <t xml:space="preserve">  תל   חי  17</t>
  </si>
  <si>
    <t>יצחק רבין    17</t>
  </si>
  <si>
    <t>שחף    28</t>
  </si>
  <si>
    <t>ששת  הימים 21</t>
  </si>
  <si>
    <t>בן גוריון  41</t>
  </si>
  <si>
    <t>יהודה  הלוי  18</t>
  </si>
  <si>
    <t xml:space="preserve"> גלילי     9</t>
  </si>
  <si>
    <t>הגפן  17</t>
  </si>
  <si>
    <t xml:space="preserve">  ספיר   6</t>
  </si>
  <si>
    <t>הגליל   17</t>
  </si>
  <si>
    <t>כצנלסון  22</t>
  </si>
  <si>
    <t>אחוזה    15</t>
  </si>
  <si>
    <t>הסנדלר     6</t>
  </si>
  <si>
    <t xml:space="preserve">    הדרים 3</t>
  </si>
  <si>
    <t xml:space="preserve"> צנחנים     14</t>
  </si>
  <si>
    <t>הלימון    18</t>
  </si>
  <si>
    <t>הפרחים   30</t>
  </si>
  <si>
    <t>משעול גיל   18</t>
  </si>
  <si>
    <t>צהלה   14</t>
  </si>
  <si>
    <t>סוקולוב     17</t>
  </si>
  <si>
    <t>משעול    גיל 1</t>
  </si>
  <si>
    <t>הגלעד   7</t>
  </si>
  <si>
    <t>חובבי ציון    24</t>
  </si>
  <si>
    <t>הכרמל   5</t>
  </si>
  <si>
    <t>תאריך העסקה</t>
  </si>
  <si>
    <t>מחיר מכירה בדולר</t>
  </si>
  <si>
    <t>מחיר נכס בדולרים/עיר</t>
  </si>
  <si>
    <t>עמלות מכירה</t>
  </si>
  <si>
    <t>רשימת עסקאות</t>
  </si>
  <si>
    <t xml:space="preserve">שער דולר </t>
  </si>
  <si>
    <t>תאי עזר שאלה 8</t>
  </si>
  <si>
    <t>הופעה בזאפה</t>
  </si>
  <si>
    <t>תלוש לארוחת בוקר זוגית</t>
  </si>
  <si>
    <t>טיסה לקפריסין</t>
  </si>
  <si>
    <t>טיסה ללונדון</t>
  </si>
  <si>
    <t>טיסה לפריז</t>
  </si>
  <si>
    <t>לא זכאי להטבה</t>
  </si>
  <si>
    <t>עמודת עזר שטח הדירה</t>
  </si>
  <si>
    <t>עמודת עזר מספר חדרים</t>
  </si>
  <si>
    <t>הטבה</t>
  </si>
  <si>
    <t>תאריך מסירה</t>
  </si>
  <si>
    <t>שנה יותר:</t>
  </si>
  <si>
    <t>חוק</t>
  </si>
  <si>
    <t>כל פעם שיבקשו "יום אחרון בחודש"</t>
  </si>
  <si>
    <t>תאי העזר יהיו 0 ו 1</t>
  </si>
  <si>
    <t>חצי שנה</t>
  </si>
  <si>
    <t>;</t>
  </si>
  <si>
    <t>עמודת עזר DATE 1</t>
  </si>
  <si>
    <t>עמודת עזר DATE 2</t>
  </si>
  <si>
    <t>עמודת עזר DATE 3</t>
  </si>
  <si>
    <t>עמלת סוכן נדל"ן</t>
  </si>
  <si>
    <t>&lt;=2</t>
  </si>
  <si>
    <t>&lt;70</t>
  </si>
  <si>
    <t>סעיף 1 ש 4</t>
  </si>
  <si>
    <t>סעיף 3 ש 4</t>
  </si>
  <si>
    <t>&gt;62</t>
  </si>
  <si>
    <t>&gt;=01/04/2025</t>
  </si>
  <si>
    <t>&lt;=30/06/2025</t>
  </si>
  <si>
    <t>סעיף 2 ש 4</t>
  </si>
  <si>
    <t>&gt;=01/03/2025</t>
  </si>
  <si>
    <t>&lt;=31/03/2025</t>
  </si>
  <si>
    <t>&gt;960441.27</t>
  </si>
  <si>
    <t>סעיף 4 ש 4</t>
  </si>
  <si>
    <t xml:space="preserve">הצג או שלוף </t>
  </si>
  <si>
    <t>XLOOKUP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</si>
</sst>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 &quot;₪&quot;\ * #,##0.00_ ;_ &quot;₪&quot;\ * \-#,##0.00_ ;_ &quot;₪&quot;\ * &quot;-&quot;??_ ;_ @_ "/>
    <numFmt numFmtId="164" formatCode="_-* #,##0.00_-;\-* #,##0.00_-;_-* &quot;-&quot;??_-;_-@_-"/>
    <numFmt numFmtId="165" formatCode="_-* #,##0_-;\-* #,##0_-;_-* &quot;-&quot;??_-;_-@_-"/>
    <numFmt numFmtId="168" formatCode="_-[$$-409]* #,##0.00_ ;_-[$$-409]* \-#,##0.00\ ;_-[$$-409]* &quot;-&quot;??_ ;_-@_ "/>
  </numFmts>
  <fonts count="11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b/>
      <u/>
      <sz val="12"/>
      <name val="Arial"/>
      <family val="2"/>
    </font>
    <font>
      <b/>
      <u/>
      <sz val="11"/>
      <color theme="1"/>
      <name val="Arial"/>
      <family val="2"/>
      <scheme val="minor"/>
    </font>
    <font>
      <sz val="8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99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0" fontId="3" fillId="0" borderId="0"/>
    <xf numFmtId="0" fontId="1" fillId="0" borderId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1"/>
    <xf numFmtId="0" fontId="3" fillId="0" borderId="0" xfId="1" applyFont="1"/>
    <xf numFmtId="14" fontId="2" fillId="0" borderId="0" xfId="1" applyNumberFormat="1"/>
    <xf numFmtId="0" fontId="3" fillId="0" borderId="0" xfId="1" applyFont="1" applyAlignment="1">
      <alignment horizontal="right"/>
    </xf>
    <xf numFmtId="0" fontId="0" fillId="0" borderId="0" xfId="0" applyAlignment="1">
      <alignment horizontal="right"/>
    </xf>
    <xf numFmtId="0" fontId="6" fillId="0" borderId="0" xfId="0" applyFont="1"/>
    <xf numFmtId="0" fontId="7" fillId="0" borderId="0" xfId="0" applyFont="1"/>
    <xf numFmtId="0" fontId="9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0" fillId="3" borderId="0" xfId="0" applyFill="1"/>
    <xf numFmtId="0" fontId="0" fillId="4" borderId="0" xfId="0" applyFill="1"/>
    <xf numFmtId="14" fontId="0" fillId="0" borderId="0" xfId="0" applyNumberFormat="1"/>
    <xf numFmtId="9" fontId="6" fillId="5" borderId="0" xfId="0" applyNumberFormat="1" applyFont="1" applyFill="1"/>
    <xf numFmtId="165" fontId="6" fillId="3" borderId="0" xfId="4" applyNumberFormat="1" applyFont="1" applyFill="1"/>
    <xf numFmtId="0" fontId="8" fillId="4" borderId="0" xfId="1" applyFont="1" applyFill="1"/>
    <xf numFmtId="168" fontId="2" fillId="0" borderId="0" xfId="1" applyNumberFormat="1"/>
    <xf numFmtId="168" fontId="0" fillId="0" borderId="0" xfId="5" applyNumberFormat="1" applyFont="1"/>
    <xf numFmtId="0" fontId="6" fillId="0" borderId="0" xfId="0" applyFont="1" applyFill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3" borderId="2" xfId="0" applyFill="1" applyBorder="1" applyAlignment="1">
      <alignment vertical="center" wrapText="1"/>
    </xf>
    <xf numFmtId="0" fontId="0" fillId="4" borderId="2" xfId="0" applyFill="1" applyBorder="1" applyAlignment="1">
      <alignment vertical="center"/>
    </xf>
    <xf numFmtId="0" fontId="4" fillId="2" borderId="1" xfId="1" applyFont="1" applyFill="1" applyBorder="1" applyAlignment="1">
      <alignment vertical="center" wrapText="1"/>
    </xf>
    <xf numFmtId="3" fontId="4" fillId="2" borderId="1" xfId="1" applyNumberFormat="1" applyFont="1" applyFill="1" applyBorder="1" applyAlignment="1">
      <alignment vertical="center" wrapText="1"/>
    </xf>
    <xf numFmtId="168" fontId="0" fillId="0" borderId="0" xfId="0" applyNumberFormat="1"/>
  </cellXfs>
  <cellStyles count="6">
    <cellStyle name="Comma" xfId="4" builtinId="3"/>
    <cellStyle name="Currency" xfId="5" builtinId="4"/>
    <cellStyle name="Normal" xfId="0" builtinId="0"/>
    <cellStyle name="Normal 2" xfId="2" xr:uid="{00000000-0005-0000-0000-000001000000}"/>
    <cellStyle name="Normal 3" xfId="1" xr:uid="{00000000-0005-0000-0000-000002000000}"/>
    <cellStyle name="Normal 4" xfId="3" xr:uid="{00000000-0005-0000-0000-000003000000}"/>
  </cellStyles>
  <dxfs count="1">
    <dxf>
      <font>
        <color rgb="FFFF0000"/>
      </font>
      <fill>
        <patternFill>
          <bgColor rgb="FFFFFF00"/>
        </patternFill>
      </fill>
    </dxf>
  </dxfs>
  <tableStyles count="1" defaultTableStyle="TableStyleMedium9" defaultPivotStyle="PivotStyleLight16">
    <tableStyle name="Invisible" pivot="0" table="0" count="0" xr9:uid="{DA324034-C13D-4B89-A1DE-8302B76FFD63}"/>
  </tableStyles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H85"/>
  <sheetViews>
    <sheetView rightToLeft="1" tabSelected="1" zoomScale="115" zoomScaleNormal="115" workbookViewId="0">
      <selection activeCell="H18" sqref="H18:H19"/>
    </sheetView>
  </sheetViews>
  <sheetFormatPr defaultRowHeight="13.8" x14ac:dyDescent="0.25"/>
  <cols>
    <col min="1" max="1" width="5.59765625" bestFit="1" customWidth="1"/>
    <col min="2" max="2" width="7.59765625" bestFit="1" customWidth="1"/>
    <col min="3" max="3" width="12.5" style="5" bestFit="1" customWidth="1"/>
    <col min="4" max="4" width="7.69921875" customWidth="1"/>
    <col min="5" max="5" width="19.296875" customWidth="1"/>
    <col min="6" max="6" width="8.19921875" customWidth="1"/>
    <col min="7" max="7" width="14.3984375" customWidth="1"/>
    <col min="8" max="8" width="13" customWidth="1"/>
    <col min="9" max="9" width="11.59765625" customWidth="1"/>
    <col min="10" max="10" width="11.796875" customWidth="1"/>
    <col min="11" max="11" width="13.5" customWidth="1"/>
    <col min="12" max="12" width="13.3984375" customWidth="1"/>
    <col min="13" max="13" width="12.3984375" bestFit="1" customWidth="1"/>
    <col min="15" max="15" width="13.3984375" bestFit="1" customWidth="1"/>
    <col min="16" max="16" width="10.796875" bestFit="1" customWidth="1"/>
    <col min="19" max="19" width="10.19921875" bestFit="1" customWidth="1"/>
    <col min="20" max="21" width="10.19921875" customWidth="1"/>
    <col min="26" max="26" width="29.19921875" customWidth="1"/>
    <col min="27" max="27" width="20.796875" customWidth="1"/>
    <col min="29" max="29" width="10.59765625" customWidth="1"/>
  </cols>
  <sheetData>
    <row r="2" spans="1:34" x14ac:dyDescent="0.25">
      <c r="A2" s="8" t="s">
        <v>80</v>
      </c>
      <c r="B2" s="8"/>
      <c r="C2" s="8"/>
      <c r="D2" s="8"/>
      <c r="E2" s="8"/>
      <c r="F2" s="8"/>
      <c r="G2" s="8"/>
      <c r="H2" s="8"/>
    </row>
    <row r="3" spans="1:34" ht="14.4" thickBot="1" x14ac:dyDescent="0.3"/>
    <row r="4" spans="1:34" s="19" customFormat="1" ht="28.2" thickBot="1" x14ac:dyDescent="0.3">
      <c r="A4" s="23" t="s">
        <v>0</v>
      </c>
      <c r="B4" s="23" t="s">
        <v>1</v>
      </c>
      <c r="C4" s="23" t="s">
        <v>2</v>
      </c>
      <c r="D4" s="23" t="s">
        <v>3</v>
      </c>
      <c r="E4" s="23" t="s">
        <v>4</v>
      </c>
      <c r="F4" s="23" t="s">
        <v>5</v>
      </c>
      <c r="G4" s="24" t="s">
        <v>77</v>
      </c>
      <c r="H4" s="24" t="s">
        <v>76</v>
      </c>
      <c r="J4" s="19" t="s">
        <v>105</v>
      </c>
      <c r="O4" s="19" t="s">
        <v>102</v>
      </c>
      <c r="P4" s="19" t="s">
        <v>92</v>
      </c>
      <c r="S4" s="20" t="s">
        <v>99</v>
      </c>
      <c r="T4" s="20" t="s">
        <v>100</v>
      </c>
      <c r="U4" s="20" t="s">
        <v>101</v>
      </c>
      <c r="Z4" s="19" t="s">
        <v>91</v>
      </c>
      <c r="AA4" s="21" t="s">
        <v>89</v>
      </c>
      <c r="AC4" s="22" t="s">
        <v>90</v>
      </c>
    </row>
    <row r="5" spans="1:34" x14ac:dyDescent="0.25">
      <c r="A5" s="1">
        <v>1</v>
      </c>
      <c r="B5" s="2" t="s">
        <v>6</v>
      </c>
      <c r="C5" s="4" t="s">
        <v>7</v>
      </c>
      <c r="D5" s="1">
        <v>2</v>
      </c>
      <c r="E5" s="1">
        <v>42</v>
      </c>
      <c r="F5" s="1" t="s">
        <v>8</v>
      </c>
      <c r="G5" s="16">
        <v>452000</v>
      </c>
      <c r="H5" s="3">
        <v>45817</v>
      </c>
      <c r="O5" s="17" cm="1">
        <f t="array" ref="O5">_xlfn.XLOOKUP(G5,'נתוני עזר'!$F$12:$F$15,_xlfn.XLOOKUP(B5,'נתוני עזר'!$G$11:$M$11,'נתוני עזר'!$G$12:$M$15),,-1)*G5</f>
        <v>13560</v>
      </c>
      <c r="P5" s="12">
        <f>IF(D5=$W$7,S5,IF(OR(AND(B5=$W$14,D5=$W$13),AND(B5=$W$15,D5=$W$13)),T5,U5))</f>
        <v>46113</v>
      </c>
      <c r="S5" s="12">
        <f>DATE(YEAR(H5)+$X$10,$W$8,$X$8)</f>
        <v>46113</v>
      </c>
      <c r="T5" s="12">
        <f>DATE(YEAR(H5)+$W$16,MONTH(H5)+$W$18,$W$17)</f>
        <v>46568</v>
      </c>
      <c r="U5" s="12">
        <f>DATE(YEAR(H5),MONTH(H5)+$W$20,DAY(H5))</f>
        <v>46000</v>
      </c>
      <c r="Z5" t="str">
        <f>IF(OR(B5=$AE$15,B5=$AE$16),AA5,IF(B5=$AE$20,AC5,$AG$25))</f>
        <v>הופעה בזאפה</v>
      </c>
      <c r="AA5" s="10" t="str">
        <f>IF(E5&lt;=$AG$15,$AH$15,$AH$16)</f>
        <v>הופעה בזאפה</v>
      </c>
      <c r="AC5" s="11" t="str">
        <f>IF(D5&lt;$AF$20,$AG$20,IF(D5&lt;=$AF$21,$AG$21,$AG$22))</f>
        <v>טיסה לקפריסין</v>
      </c>
    </row>
    <row r="6" spans="1:34" ht="26.4" x14ac:dyDescent="0.25">
      <c r="A6" s="1">
        <v>2</v>
      </c>
      <c r="B6" s="2" t="s">
        <v>9</v>
      </c>
      <c r="C6" s="4" t="s">
        <v>10</v>
      </c>
      <c r="D6" s="1">
        <v>5</v>
      </c>
      <c r="E6" s="1">
        <v>150</v>
      </c>
      <c r="F6" s="2" t="s">
        <v>11</v>
      </c>
      <c r="G6" s="16">
        <v>1452000</v>
      </c>
      <c r="H6" s="3">
        <v>45871</v>
      </c>
      <c r="J6" s="23" t="s">
        <v>1</v>
      </c>
      <c r="K6" s="23" t="s">
        <v>3</v>
      </c>
      <c r="L6" s="23" t="s">
        <v>4</v>
      </c>
      <c r="M6" s="23" t="s">
        <v>5</v>
      </c>
      <c r="O6" s="17" cm="1">
        <f t="array" ref="O6">_xlfn.XLOOKUP(G6,'נתוני עזר'!$F$12:$F$15,_xlfn.XLOOKUP(B6,'נתוני עזר'!$G$11:$M$11,'נתוני עזר'!$G$12:$M$15),,-1)*G6</f>
        <v>130680</v>
      </c>
      <c r="P6" s="12">
        <f>IF(D6=$W$7,S6,IF(OR(AND(B6=$W$14,D6=$W$13),AND(B6=$W$15,D6=$W$13)),T6,U6))</f>
        <v>46055</v>
      </c>
      <c r="S6" s="12">
        <f>DATE(YEAR(H6)+$X$10,$W$8,$X$8)</f>
        <v>46113</v>
      </c>
      <c r="T6" s="12">
        <f>DATE(YEAR(H6)+$W$16,MONTH(H6)+$W$18,$W$17)</f>
        <v>46630</v>
      </c>
      <c r="U6" s="12">
        <f>DATE(YEAR(H6),MONTH(H6)+$W$20,DAY(H6))</f>
        <v>46055</v>
      </c>
      <c r="W6" t="s">
        <v>98</v>
      </c>
      <c r="Z6" t="str">
        <f>IF(OR(B6=$AE$15,B6=$AE$16),AA6,IF(B6=$AE$20,AC6,$AG$25))</f>
        <v>תלוש לארוחת בוקר זוגית</v>
      </c>
      <c r="AA6" s="10" t="str">
        <f t="shared" ref="AA6:AA66" si="0">IF(E6&lt;=$AG$15,$AH$15,$AH$16)</f>
        <v>תלוש לארוחת בוקר זוגית</v>
      </c>
      <c r="AC6" s="11" t="str">
        <f t="shared" ref="AC6:AC66" si="1">IF(D6&lt;$AF$20,$AG$20,IF(D6&lt;=$AF$21,$AG$21,$AG$22))</f>
        <v>טיסה לפריז</v>
      </c>
    </row>
    <row r="7" spans="1:34" x14ac:dyDescent="0.25">
      <c r="A7" s="1">
        <v>3</v>
      </c>
      <c r="B7" s="2" t="s">
        <v>12</v>
      </c>
      <c r="C7" s="2" t="s">
        <v>13</v>
      </c>
      <c r="D7" s="1">
        <v>4</v>
      </c>
      <c r="E7" s="1">
        <v>117</v>
      </c>
      <c r="F7" s="2" t="s">
        <v>11</v>
      </c>
      <c r="G7" s="16">
        <v>924000</v>
      </c>
      <c r="H7" s="3">
        <v>45701</v>
      </c>
      <c r="K7" t="s">
        <v>103</v>
      </c>
      <c r="M7" t="s">
        <v>8</v>
      </c>
      <c r="O7" s="17" cm="1">
        <f t="array" ref="O7">_xlfn.XLOOKUP(G7,'נתוני עזר'!$F$12:$F$15,_xlfn.XLOOKUP(B7,'נתוני עזר'!$G$11:$M$11,'נתוני עזר'!$G$12:$M$15),,-1)*G7</f>
        <v>27720</v>
      </c>
      <c r="P7" s="12">
        <f>IF(D7=$W$7,S7,IF(OR(AND(B7=$W$14,D7=$W$13),AND(B7=$W$15,D7=$W$13)),T7,U7))</f>
        <v>45882</v>
      </c>
      <c r="S7" s="12">
        <f>DATE(YEAR(H7)+$X$10,$W$8,$X$8)</f>
        <v>46113</v>
      </c>
      <c r="T7" s="12">
        <f>DATE(YEAR(H7)+$W$16,MONTH(H7)+$W$18,$W$17)</f>
        <v>46446</v>
      </c>
      <c r="U7" s="12">
        <f>DATE(YEAR(H7),MONTH(H7)+$W$20,DAY(H7))</f>
        <v>45882</v>
      </c>
      <c r="W7">
        <v>2</v>
      </c>
      <c r="Z7" t="str">
        <f>IF(OR(B7=$AE$15,B7=$AE$16),AA7,IF(B7=$AE$20,AC7,$AG$25))</f>
        <v>לא זכאי להטבה</v>
      </c>
      <c r="AA7" s="10" t="str">
        <f t="shared" si="0"/>
        <v>תלוש לארוחת בוקר זוגית</v>
      </c>
      <c r="AC7" s="11" t="str">
        <f t="shared" si="1"/>
        <v>טיסה ללונדון</v>
      </c>
    </row>
    <row r="8" spans="1:34" x14ac:dyDescent="0.25">
      <c r="A8" s="1">
        <v>4</v>
      </c>
      <c r="B8" s="2" t="s">
        <v>6</v>
      </c>
      <c r="C8" s="4" t="s">
        <v>14</v>
      </c>
      <c r="D8" s="1">
        <v>2.5</v>
      </c>
      <c r="E8" s="1">
        <v>50</v>
      </c>
      <c r="F8" s="2" t="s">
        <v>11</v>
      </c>
      <c r="G8" s="16">
        <v>368000</v>
      </c>
      <c r="H8" s="3">
        <v>45761</v>
      </c>
      <c r="J8" t="s">
        <v>15</v>
      </c>
      <c r="L8" t="s">
        <v>104</v>
      </c>
      <c r="O8" s="17" cm="1">
        <f t="array" ref="O8">_xlfn.XLOOKUP(G8,'נתוני עזר'!$F$12:$F$15,_xlfn.XLOOKUP(B8,'נתוני עזר'!$G$11:$M$11,'נתוני עזר'!$G$12:$M$15),,-1)*G8</f>
        <v>7360</v>
      </c>
      <c r="P8" s="12">
        <f>IF(D8=$W$7,S8,IF(OR(AND(B8=$W$14,D8=$W$13),AND(B8=$W$15,D8=$W$13)),T8,U8))</f>
        <v>45944</v>
      </c>
      <c r="S8" s="12">
        <f>DATE(YEAR(H8)+$X$10,$W$8,$X$8)</f>
        <v>46113</v>
      </c>
      <c r="T8" s="12">
        <f>DATE(YEAR(H8)+$W$16,MONTH(H8)+$W$18,$W$17)</f>
        <v>46507</v>
      </c>
      <c r="U8" s="12">
        <f>DATE(YEAR(H8),MONTH(H8)+$W$20,DAY(H8))</f>
        <v>45944</v>
      </c>
      <c r="W8">
        <v>4</v>
      </c>
      <c r="X8">
        <v>1</v>
      </c>
      <c r="Z8" t="str">
        <f>IF(OR(B8=$AE$15,B8=$AE$16),AA8,IF(B8=$AE$20,AC8,$AG$25))</f>
        <v>תלוש לארוחת בוקר זוגית</v>
      </c>
      <c r="AA8" s="10" t="str">
        <f t="shared" si="0"/>
        <v>תלוש לארוחת בוקר זוגית</v>
      </c>
      <c r="AC8" s="11" t="str">
        <f t="shared" si="1"/>
        <v>טיסה לקפריסין</v>
      </c>
    </row>
    <row r="9" spans="1:34" x14ac:dyDescent="0.25">
      <c r="A9" s="1">
        <v>5</v>
      </c>
      <c r="B9" s="2" t="s">
        <v>15</v>
      </c>
      <c r="C9" s="4" t="s">
        <v>16</v>
      </c>
      <c r="D9" s="1">
        <v>3</v>
      </c>
      <c r="E9" s="1">
        <v>75</v>
      </c>
      <c r="F9" s="1" t="s">
        <v>8</v>
      </c>
      <c r="G9" s="16">
        <v>396000</v>
      </c>
      <c r="H9" s="3">
        <v>45808</v>
      </c>
      <c r="J9" t="s">
        <v>22</v>
      </c>
      <c r="L9" t="s">
        <v>104</v>
      </c>
      <c r="O9" s="17" cm="1">
        <f t="array" ref="O9">_xlfn.XLOOKUP(G9,'נתוני עזר'!$F$12:$F$15,_xlfn.XLOOKUP(B9,'נתוני עזר'!$G$11:$M$11,'נתוני עזר'!$G$12:$M$15),,-1)*G9</f>
        <v>3960</v>
      </c>
      <c r="P9" s="12">
        <f>IF(D9=$W$7,S9,IF(OR(AND(B9=$W$14,D9=$W$13),AND(B9=$W$15,D9=$W$13)),T9,U9))</f>
        <v>45992</v>
      </c>
      <c r="S9" s="12">
        <f>DATE(YEAR(H9)+$X$10,$W$8,$X$8)</f>
        <v>46113</v>
      </c>
      <c r="T9" s="12">
        <f>DATE(YEAR(H9)+$W$16,MONTH(H9)+$W$18,$W$17)</f>
        <v>46538</v>
      </c>
      <c r="U9" s="12">
        <f>DATE(YEAR(H9),MONTH(H9)+$W$20,DAY(H9))</f>
        <v>45992</v>
      </c>
      <c r="Z9" t="str">
        <f>IF(OR(B9=$AE$15,B9=$AE$16),AA9,IF(B9=$AE$20,AC9,$AG$25))</f>
        <v>טיסה ללונדון</v>
      </c>
      <c r="AA9" s="10" t="str">
        <f t="shared" si="0"/>
        <v>תלוש לארוחת בוקר זוגית</v>
      </c>
      <c r="AC9" s="11" t="str">
        <f t="shared" si="1"/>
        <v>טיסה ללונדון</v>
      </c>
    </row>
    <row r="10" spans="1:34" x14ac:dyDescent="0.25">
      <c r="A10" s="1">
        <v>6</v>
      </c>
      <c r="B10" s="2" t="s">
        <v>17</v>
      </c>
      <c r="C10" s="4" t="s">
        <v>18</v>
      </c>
      <c r="D10" s="1">
        <v>4.5</v>
      </c>
      <c r="E10" s="1">
        <v>124</v>
      </c>
      <c r="F10" s="2" t="s">
        <v>11</v>
      </c>
      <c r="G10" s="16">
        <v>990000</v>
      </c>
      <c r="H10" s="3">
        <v>45771</v>
      </c>
      <c r="O10" s="17" cm="1">
        <f t="array" ref="O10">_xlfn.XLOOKUP(G10,'נתוני עזר'!$F$12:$F$15,_xlfn.XLOOKUP(B10,'נתוני עזר'!$G$11:$M$11,'נתוני עזר'!$G$12:$M$15),,-1)*G10</f>
        <v>49500</v>
      </c>
      <c r="P10" s="12">
        <f>IF(D10=$W$7,S10,IF(OR(AND(B10=$W$14,D10=$W$13),AND(B10=$W$15,D10=$W$13)),T10,U10))</f>
        <v>45954</v>
      </c>
      <c r="S10" s="12">
        <f>DATE(YEAR(H10)+$X$10,$W$8,$X$8)</f>
        <v>46113</v>
      </c>
      <c r="T10" s="12">
        <f>DATE(YEAR(H10)+$W$16,MONTH(H10)+$W$18,$W$17)</f>
        <v>46507</v>
      </c>
      <c r="U10" s="12">
        <f>DATE(YEAR(H10),MONTH(H10)+$W$20,DAY(H10))</f>
        <v>45954</v>
      </c>
      <c r="W10" t="s">
        <v>93</v>
      </c>
      <c r="X10">
        <v>1</v>
      </c>
      <c r="Z10" t="str">
        <f>IF(OR(B10=$AE$15,B10=$AE$16),AA10,IF(B10=$AE$20,AC10,$AG$25))</f>
        <v>לא זכאי להטבה</v>
      </c>
      <c r="AA10" s="10" t="str">
        <f t="shared" si="0"/>
        <v>תלוש לארוחת בוקר זוגית</v>
      </c>
      <c r="AC10" s="11" t="str">
        <f t="shared" si="1"/>
        <v>טיסה ללונדון</v>
      </c>
    </row>
    <row r="11" spans="1:34" x14ac:dyDescent="0.25">
      <c r="A11" s="1">
        <v>7</v>
      </c>
      <c r="B11" s="2" t="s">
        <v>12</v>
      </c>
      <c r="C11" s="4" t="s">
        <v>19</v>
      </c>
      <c r="D11" s="1">
        <v>2</v>
      </c>
      <c r="E11" s="1">
        <v>40</v>
      </c>
      <c r="F11" s="2" t="s">
        <v>11</v>
      </c>
      <c r="G11" s="16">
        <v>468000</v>
      </c>
      <c r="H11" s="3">
        <v>45734</v>
      </c>
      <c r="O11" s="17" cm="1">
        <f t="array" ref="O11">_xlfn.XLOOKUP(G11,'נתוני עזר'!$F$12:$F$15,_xlfn.XLOOKUP(B11,'נתוני עזר'!$G$11:$M$11,'נתוני עזר'!$G$12:$M$15),,-1)*G11</f>
        <v>14040</v>
      </c>
      <c r="P11" s="12">
        <f>IF(D11=$W$7,S11,IF(OR(AND(B11=$W$14,D11=$W$13),AND(B11=$W$15,D11=$W$13)),T11,U11))</f>
        <v>46113</v>
      </c>
      <c r="S11" s="12">
        <f>DATE(YEAR(H11)+$X$10,$W$8,$X$8)</f>
        <v>46113</v>
      </c>
      <c r="T11" s="12">
        <f>DATE(YEAR(H11)+$W$16,MONTH(H11)+$W$18,$W$17)</f>
        <v>46477</v>
      </c>
      <c r="U11" s="12">
        <f>DATE(YEAR(H11),MONTH(H11)+$W$20,DAY(H11))</f>
        <v>45918</v>
      </c>
      <c r="Z11" t="str">
        <f>IF(OR(B11=$AE$15,B11=$AE$16),AA11,IF(B11=$AE$20,AC11,$AG$25))</f>
        <v>לא זכאי להטבה</v>
      </c>
      <c r="AA11" s="10" t="str">
        <f t="shared" si="0"/>
        <v>הופעה בזאפה</v>
      </c>
      <c r="AC11" s="11" t="str">
        <f t="shared" si="1"/>
        <v>טיסה לקפריסין</v>
      </c>
    </row>
    <row r="12" spans="1:34" x14ac:dyDescent="0.25">
      <c r="A12" s="1">
        <v>8</v>
      </c>
      <c r="B12" s="2" t="s">
        <v>20</v>
      </c>
      <c r="C12" s="4" t="s">
        <v>21</v>
      </c>
      <c r="D12" s="1">
        <v>4</v>
      </c>
      <c r="E12" s="1">
        <v>100</v>
      </c>
      <c r="F12" s="2" t="s">
        <v>11</v>
      </c>
      <c r="G12" s="16">
        <v>726000</v>
      </c>
      <c r="H12" s="3">
        <v>45814</v>
      </c>
      <c r="O12" s="17" cm="1">
        <f t="array" ref="O12">_xlfn.XLOOKUP(G12,'נתוני עזר'!$F$12:$F$15,_xlfn.XLOOKUP(B12,'נתוני עזר'!$G$11:$M$11,'נתוני עזר'!$G$12:$M$15),,-1)*G12</f>
        <v>43560</v>
      </c>
      <c r="P12" s="12">
        <f>IF(D12=$W$7,S12,IF(OR(AND(B12=$W$14,D12=$W$13),AND(B12=$W$15,D12=$W$13)),T12,U12))</f>
        <v>45997</v>
      </c>
      <c r="S12" s="12">
        <f>DATE(YEAR(H12)+$X$10,$W$8,$X$8)</f>
        <v>46113</v>
      </c>
      <c r="T12" s="12">
        <f>DATE(YEAR(H12)+$W$16,MONTH(H12)+$W$18,$W$17)</f>
        <v>46568</v>
      </c>
      <c r="U12" s="12">
        <f>DATE(YEAR(H12),MONTH(H12)+$W$20,DAY(H12))</f>
        <v>45997</v>
      </c>
      <c r="Z12" t="str">
        <f>IF(OR(B12=$AE$15,B12=$AE$16),AA12,IF(B12=$AE$20,AC12,$AG$25))</f>
        <v>לא זכאי להטבה</v>
      </c>
      <c r="AA12" s="10" t="str">
        <f t="shared" si="0"/>
        <v>תלוש לארוחת בוקר זוגית</v>
      </c>
      <c r="AC12" s="11" t="str">
        <f t="shared" si="1"/>
        <v>טיסה ללונדון</v>
      </c>
    </row>
    <row r="13" spans="1:34" x14ac:dyDescent="0.25">
      <c r="A13" s="1">
        <v>9</v>
      </c>
      <c r="B13" s="2" t="s">
        <v>22</v>
      </c>
      <c r="C13" s="4" t="s">
        <v>23</v>
      </c>
      <c r="D13" s="1">
        <v>2</v>
      </c>
      <c r="E13" s="1">
        <v>38</v>
      </c>
      <c r="F13" s="2" t="s">
        <v>11</v>
      </c>
      <c r="G13" s="16">
        <v>512000</v>
      </c>
      <c r="H13" s="3">
        <v>46005</v>
      </c>
      <c r="O13" s="17" cm="1">
        <f t="array" ref="O13">_xlfn.XLOOKUP(G13,'נתוני עזר'!$F$12:$F$15,_xlfn.XLOOKUP(B13,'נתוני עזר'!$G$11:$M$11,'נתוני עזר'!$G$12:$M$15),,-1)*G13</f>
        <v>25600</v>
      </c>
      <c r="P13" s="12">
        <f>IF(D13=$W$7,S13,IF(OR(AND(B13=$W$14,D13=$W$13),AND(B13=$W$15,D13=$W$13)),T13,U13))</f>
        <v>46113</v>
      </c>
      <c r="S13" s="12">
        <f>DATE(YEAR(H13)+$X$10,$W$8,$X$8)</f>
        <v>46113</v>
      </c>
      <c r="T13" s="12">
        <f>DATE(YEAR(H13)+$W$16,MONTH(H13)+$W$18,$W$17)</f>
        <v>46752</v>
      </c>
      <c r="U13" s="12">
        <f>DATE(YEAR(H13),MONTH(H13)+$W$20,DAY(H13))</f>
        <v>46187</v>
      </c>
      <c r="W13">
        <v>6</v>
      </c>
      <c r="Z13" t="str">
        <f>IF(OR(B13=$AE$15,B13=$AE$16),AA13,IF(B13=$AE$20,AC13,$AG$25))</f>
        <v>לא זכאי להטבה</v>
      </c>
      <c r="AA13" s="10" t="str">
        <f t="shared" si="0"/>
        <v>הופעה בזאפה</v>
      </c>
      <c r="AC13" s="11" t="str">
        <f t="shared" si="1"/>
        <v>טיסה לקפריסין</v>
      </c>
      <c r="AE13" t="s">
        <v>82</v>
      </c>
    </row>
    <row r="14" spans="1:34" x14ac:dyDescent="0.25">
      <c r="A14" s="1">
        <v>10</v>
      </c>
      <c r="B14" s="2" t="s">
        <v>6</v>
      </c>
      <c r="C14" s="4" t="s">
        <v>24</v>
      </c>
      <c r="D14" s="1">
        <v>6</v>
      </c>
      <c r="E14" s="1">
        <v>73</v>
      </c>
      <c r="F14" s="2" t="s">
        <v>11</v>
      </c>
      <c r="G14" s="16">
        <v>1332000</v>
      </c>
      <c r="H14" s="3">
        <v>45670</v>
      </c>
      <c r="O14" s="17" cm="1">
        <f t="array" ref="O14">_xlfn.XLOOKUP(G14,'נתוני עזר'!$F$12:$F$15,_xlfn.XLOOKUP(B14,'נתוני עזר'!$G$11:$M$11,'נתוני עזר'!$G$12:$M$15),,-1)*G14</f>
        <v>119880</v>
      </c>
      <c r="P14" s="12">
        <f>IF(D14=$W$7,S14,IF(OR(AND(B14=$W$14,D14=$W$13),AND(B14=$W$15,D14=$W$13)),T14,U14))</f>
        <v>45851</v>
      </c>
      <c r="S14" s="12">
        <f>DATE(YEAR(H14)+$X$10,$W$8,$X$8)</f>
        <v>46113</v>
      </c>
      <c r="T14" s="12">
        <f>DATE(YEAR(H14)+$W$16,MONTH(H14)+$W$18,$W$17)</f>
        <v>46418</v>
      </c>
      <c r="U14" s="12">
        <f>DATE(YEAR(H14),MONTH(H14)+$W$20,DAY(H14))</f>
        <v>45851</v>
      </c>
      <c r="W14" t="s">
        <v>17</v>
      </c>
      <c r="Z14" t="str">
        <f>IF(OR(B14=$AE$15,B14=$AE$16),AA14,IF(B14=$AE$20,AC14,$AG$25))</f>
        <v>תלוש לארוחת בוקר זוגית</v>
      </c>
      <c r="AA14" s="10" t="str">
        <f t="shared" si="0"/>
        <v>תלוש לארוחת בוקר זוגית</v>
      </c>
      <c r="AC14" s="11" t="str">
        <f t="shared" si="1"/>
        <v>טיסה לפריז</v>
      </c>
    </row>
    <row r="15" spans="1:34" x14ac:dyDescent="0.25">
      <c r="A15" s="1">
        <v>11</v>
      </c>
      <c r="B15" s="2" t="s">
        <v>6</v>
      </c>
      <c r="C15" s="4" t="s">
        <v>25</v>
      </c>
      <c r="D15" s="1">
        <v>5</v>
      </c>
      <c r="E15" s="1">
        <v>155</v>
      </c>
      <c r="F15" s="2" t="s">
        <v>11</v>
      </c>
      <c r="G15" s="16">
        <v>540000</v>
      </c>
      <c r="H15" s="3">
        <v>45763</v>
      </c>
      <c r="K15">
        <f>DSUM(A4:H66,G4,J6:M9)</f>
        <v>4890123</v>
      </c>
      <c r="O15" s="17" cm="1">
        <f t="array" ref="O15">_xlfn.XLOOKUP(G15,'נתוני עזר'!$F$12:$F$15,_xlfn.XLOOKUP(B15,'נתוני עזר'!$G$11:$M$11,'נתוני עזר'!$G$12:$M$15),,-1)*G15</f>
        <v>16200</v>
      </c>
      <c r="P15" s="12">
        <f>IF(D15=$W$7,S15,IF(OR(AND(B15=$W$14,D15=$W$13),AND(B15=$W$15,D15=$W$13)),T15,U15))</f>
        <v>45946</v>
      </c>
      <c r="S15" s="12">
        <f>DATE(YEAR(H15)+$X$10,$W$8,$X$8)</f>
        <v>46113</v>
      </c>
      <c r="T15" s="12">
        <f>DATE(YEAR(H15)+$W$16,MONTH(H15)+$W$18,$W$17)</f>
        <v>46507</v>
      </c>
      <c r="U15" s="12">
        <f>DATE(YEAR(H15),MONTH(H15)+$W$20,DAY(H15))</f>
        <v>45946</v>
      </c>
      <c r="W15" t="s">
        <v>22</v>
      </c>
      <c r="Z15" t="str">
        <f>IF(OR(B15=$AE$15,B15=$AE$16),AA15,IF(B15=$AE$20,AC15,$AG$25))</f>
        <v>תלוש לארוחת בוקר זוגית</v>
      </c>
      <c r="AA15" s="10" t="str">
        <f t="shared" si="0"/>
        <v>תלוש לארוחת בוקר זוגית</v>
      </c>
      <c r="AC15" s="11" t="str">
        <f t="shared" si="1"/>
        <v>טיסה לפריז</v>
      </c>
      <c r="AE15" s="2" t="s">
        <v>6</v>
      </c>
      <c r="AG15">
        <v>45</v>
      </c>
      <c r="AH15" t="s">
        <v>83</v>
      </c>
    </row>
    <row r="16" spans="1:34" x14ac:dyDescent="0.25">
      <c r="A16" s="1">
        <v>12</v>
      </c>
      <c r="B16" s="2" t="s">
        <v>20</v>
      </c>
      <c r="C16" s="4" t="s">
        <v>26</v>
      </c>
      <c r="D16" s="1">
        <v>2</v>
      </c>
      <c r="E16" s="1">
        <v>32</v>
      </c>
      <c r="F16" s="2" t="s">
        <v>11</v>
      </c>
      <c r="G16" s="16">
        <v>441236</v>
      </c>
      <c r="H16" s="3">
        <v>45912</v>
      </c>
      <c r="O16" s="17" cm="1">
        <f t="array" ref="O16">_xlfn.XLOOKUP(G16,'נתוני עזר'!$F$12:$F$15,_xlfn.XLOOKUP(B16,'נתוני עזר'!$G$11:$M$11,'נתוני עזר'!$G$12:$M$15),,-1)*G16</f>
        <v>8824.7199999999993</v>
      </c>
      <c r="P16" s="12">
        <f>IF(D16=$W$7,S16,IF(OR(AND(B16=$W$14,D16=$W$13),AND(B16=$W$15,D16=$W$13)),T16,U16))</f>
        <v>46113</v>
      </c>
      <c r="S16" s="12">
        <f>DATE(YEAR(H16)+$X$10,$W$8,$X$8)</f>
        <v>46113</v>
      </c>
      <c r="T16" s="12">
        <f>DATE(YEAR(H16)+$W$16,MONTH(H16)+$W$18,$W$17)</f>
        <v>46660</v>
      </c>
      <c r="U16" s="12">
        <f>DATE(YEAR(H16),MONTH(H16)+$W$20,DAY(H16))</f>
        <v>46093</v>
      </c>
      <c r="W16">
        <v>2</v>
      </c>
      <c r="Z16" t="str">
        <f>IF(OR(B16=$AE$15,B16=$AE$16),AA16,IF(B16=$AE$20,AC16,$AG$25))</f>
        <v>לא זכאי להטבה</v>
      </c>
      <c r="AA16" s="10" t="str">
        <f t="shared" si="0"/>
        <v>הופעה בזאפה</v>
      </c>
      <c r="AC16" s="11" t="str">
        <f t="shared" si="1"/>
        <v>טיסה לקפריסין</v>
      </c>
      <c r="AE16" s="2" t="s">
        <v>9</v>
      </c>
      <c r="AH16" t="s">
        <v>84</v>
      </c>
    </row>
    <row r="17" spans="1:33" x14ac:dyDescent="0.25">
      <c r="A17" s="1">
        <v>13</v>
      </c>
      <c r="B17" s="2" t="s">
        <v>17</v>
      </c>
      <c r="C17" s="4" t="s">
        <v>27</v>
      </c>
      <c r="D17" s="1">
        <v>2.5</v>
      </c>
      <c r="E17" s="1">
        <v>50</v>
      </c>
      <c r="F17" s="1" t="s">
        <v>8</v>
      </c>
      <c r="G17" s="16">
        <v>380000</v>
      </c>
      <c r="H17" s="3">
        <v>45978</v>
      </c>
      <c r="O17" s="17" cm="1">
        <f t="array" ref="O17">_xlfn.XLOOKUP(G17,'נתוני עזר'!$F$12:$F$15,_xlfn.XLOOKUP(B17,'נתוני עזר'!$G$11:$M$11,'נתוני עזר'!$G$12:$M$15),,-1)*G17</f>
        <v>7600</v>
      </c>
      <c r="P17" s="12">
        <f>IF(D17=$W$7,S17,IF(OR(AND(B17=$W$14,D17=$W$13),AND(B17=$W$15,D17=$W$13)),T17,U17))</f>
        <v>46159</v>
      </c>
      <c r="S17" s="12">
        <f>DATE(YEAR(H17)+$X$10,$W$8,$X$8)</f>
        <v>46113</v>
      </c>
      <c r="T17" s="12">
        <f>DATE(YEAR(H17)+$W$16,MONTH(H17)+$W$18,$W$17)</f>
        <v>46721</v>
      </c>
      <c r="U17" s="12">
        <f>DATE(YEAR(H17),MONTH(H17)+$W$20,DAY(H17))</f>
        <v>46159</v>
      </c>
      <c r="W17" s="11">
        <v>0</v>
      </c>
      <c r="Z17" t="str">
        <f>IF(OR(B17=$AE$15,B17=$AE$16),AA17,IF(B17=$AE$20,AC17,$AG$25))</f>
        <v>לא זכאי להטבה</v>
      </c>
      <c r="AA17" s="10" t="str">
        <f t="shared" si="0"/>
        <v>תלוש לארוחת בוקר זוגית</v>
      </c>
      <c r="AC17" s="11" t="str">
        <f t="shared" si="1"/>
        <v>טיסה לקפריסין</v>
      </c>
    </row>
    <row r="18" spans="1:33" x14ac:dyDescent="0.25">
      <c r="A18" s="1">
        <v>14</v>
      </c>
      <c r="B18" s="2" t="s">
        <v>12</v>
      </c>
      <c r="C18" s="4" t="s">
        <v>28</v>
      </c>
      <c r="D18" s="1">
        <v>2.5</v>
      </c>
      <c r="E18" s="1">
        <v>52</v>
      </c>
      <c r="F18" s="2" t="s">
        <v>11</v>
      </c>
      <c r="G18" s="16">
        <v>606000</v>
      </c>
      <c r="H18" s="3">
        <v>45776</v>
      </c>
      <c r="J18" s="19" t="s">
        <v>106</v>
      </c>
      <c r="O18" s="17" cm="1">
        <f t="array" ref="O18">_xlfn.XLOOKUP(G18,'נתוני עזר'!$F$12:$F$15,_xlfn.XLOOKUP(B18,'נתוני עזר'!$G$11:$M$11,'נתוני עזר'!$G$12:$M$15),,-1)*G18</f>
        <v>18180</v>
      </c>
      <c r="P18" s="12">
        <f>IF(D18=$W$7,S18,IF(OR(AND(B18=$W$14,D18=$W$13),AND(B18=$W$15,D18=$W$13)),T18,U18))</f>
        <v>45959</v>
      </c>
      <c r="S18" s="12">
        <f>DATE(YEAR(H18)+$X$10,$W$8,$X$8)</f>
        <v>46113</v>
      </c>
      <c r="T18" s="12">
        <f>DATE(YEAR(H18)+$W$16,MONTH(H18)+$W$18,$W$17)</f>
        <v>46507</v>
      </c>
      <c r="U18" s="12">
        <f>DATE(YEAR(H18),MONTH(H18)+$W$20,DAY(H18))</f>
        <v>45959</v>
      </c>
      <c r="W18" s="11">
        <v>1</v>
      </c>
      <c r="Z18" t="str">
        <f>IF(OR(B18=$AE$15,B18=$AE$16),AA18,IF(B18=$AE$20,AC18,$AG$25))</f>
        <v>לא זכאי להטבה</v>
      </c>
      <c r="AA18" s="10" t="str">
        <f t="shared" si="0"/>
        <v>תלוש לארוחת בוקר זוגית</v>
      </c>
      <c r="AC18" s="11" t="str">
        <f t="shared" si="1"/>
        <v>טיסה לקפריסין</v>
      </c>
    </row>
    <row r="19" spans="1:33" x14ac:dyDescent="0.25">
      <c r="A19" s="1">
        <v>15</v>
      </c>
      <c r="B19" s="2" t="s">
        <v>9</v>
      </c>
      <c r="C19" s="4" t="s">
        <v>29</v>
      </c>
      <c r="D19" s="1">
        <v>6</v>
      </c>
      <c r="E19" s="1">
        <v>90</v>
      </c>
      <c r="F19" s="2" t="s">
        <v>11</v>
      </c>
      <c r="G19" s="16">
        <v>1278000</v>
      </c>
      <c r="H19" s="3">
        <v>45820</v>
      </c>
      <c r="O19" s="17" cm="1">
        <f t="array" ref="O19">_xlfn.XLOOKUP(G19,'נתוני עזר'!$F$12:$F$15,_xlfn.XLOOKUP(B19,'נתוני עזר'!$G$11:$M$11,'נתוני עזר'!$G$12:$M$15),,-1)*G19</f>
        <v>115020</v>
      </c>
      <c r="P19" s="12">
        <f>IF(D19=$W$7,S19,IF(OR(AND(B19=$W$14,D19=$W$13),AND(B19=$W$15,D19=$W$13)),T19,U19))</f>
        <v>46003</v>
      </c>
      <c r="S19" s="12">
        <f>DATE(YEAR(H19)+$X$10,$W$8,$X$8)</f>
        <v>46113</v>
      </c>
      <c r="T19" s="12">
        <f>DATE(YEAR(H19)+$W$16,MONTH(H19)+$W$18,$W$17)</f>
        <v>46568</v>
      </c>
      <c r="U19" s="12">
        <f>DATE(YEAR(H19),MONTH(H19)+$W$20,DAY(H19))</f>
        <v>46003</v>
      </c>
      <c r="Z19" t="str">
        <f>IF(OR(B19=$AE$15,B19=$AE$16),AA19,IF(B19=$AE$20,AC19,$AG$25))</f>
        <v>תלוש לארוחת בוקר זוגית</v>
      </c>
      <c r="AA19" s="10" t="str">
        <f t="shared" si="0"/>
        <v>תלוש לארוחת בוקר זוגית</v>
      </c>
      <c r="AC19" s="11" t="str">
        <f t="shared" si="1"/>
        <v>טיסה לפריז</v>
      </c>
    </row>
    <row r="20" spans="1:33" ht="26.4" x14ac:dyDescent="0.25">
      <c r="A20" s="1">
        <v>16</v>
      </c>
      <c r="B20" s="2" t="s">
        <v>17</v>
      </c>
      <c r="C20" s="4" t="s">
        <v>30</v>
      </c>
      <c r="D20" s="1">
        <v>3.5</v>
      </c>
      <c r="E20" s="1">
        <v>82</v>
      </c>
      <c r="F20" s="2" t="s">
        <v>11</v>
      </c>
      <c r="G20" s="16">
        <v>420000</v>
      </c>
      <c r="H20" s="3">
        <v>45798</v>
      </c>
      <c r="I20" s="24" t="s">
        <v>76</v>
      </c>
      <c r="J20" s="24" t="s">
        <v>76</v>
      </c>
      <c r="K20" s="23" t="s">
        <v>4</v>
      </c>
      <c r="L20" s="23" t="s">
        <v>5</v>
      </c>
      <c r="O20" s="17" cm="1">
        <f t="array" ref="O20">_xlfn.XLOOKUP(G20,'נתוני עזר'!$F$12:$F$15,_xlfn.XLOOKUP(B20,'נתוני עזר'!$G$11:$M$11,'נתוני עזר'!$G$12:$M$15),,-1)*G20</f>
        <v>8400</v>
      </c>
      <c r="P20" s="12">
        <f>IF(D20=$W$7,S20,IF(OR(AND(B20=$W$14,D20=$W$13),AND(B20=$W$15,D20=$W$13)),T20,U20))</f>
        <v>45982</v>
      </c>
      <c r="S20" s="12">
        <f>DATE(YEAR(H20)+$X$10,$W$8,$X$8)</f>
        <v>46113</v>
      </c>
      <c r="T20" s="12">
        <f>DATE(YEAR(H20)+$W$16,MONTH(H20)+$W$18,$W$17)</f>
        <v>46538</v>
      </c>
      <c r="U20" s="12">
        <f>DATE(YEAR(H20),MONTH(H20)+$W$20,DAY(H20))</f>
        <v>45982</v>
      </c>
      <c r="W20">
        <v>6</v>
      </c>
      <c r="X20" t="s">
        <v>97</v>
      </c>
      <c r="Z20" t="str">
        <f>IF(OR(B20=$AE$15,B20=$AE$16),AA20,IF(B20=$AE$20,AC20,$AG$25))</f>
        <v>לא זכאי להטבה</v>
      </c>
      <c r="AA20" s="10" t="str">
        <f t="shared" si="0"/>
        <v>תלוש לארוחת בוקר זוגית</v>
      </c>
      <c r="AC20" s="11" t="str">
        <f t="shared" si="1"/>
        <v>טיסה ללונדון</v>
      </c>
      <c r="AE20" s="2" t="s">
        <v>15</v>
      </c>
      <c r="AF20">
        <v>3</v>
      </c>
      <c r="AG20" t="s">
        <v>85</v>
      </c>
    </row>
    <row r="21" spans="1:33" x14ac:dyDescent="0.25">
      <c r="A21" s="1">
        <v>17</v>
      </c>
      <c r="B21" s="2" t="s">
        <v>6</v>
      </c>
      <c r="C21" s="4" t="s">
        <v>31</v>
      </c>
      <c r="D21" s="1">
        <v>3</v>
      </c>
      <c r="E21" s="1">
        <v>68</v>
      </c>
      <c r="F21" s="2" t="s">
        <v>11</v>
      </c>
      <c r="G21" s="16">
        <v>399000</v>
      </c>
      <c r="H21" s="3">
        <v>45879</v>
      </c>
      <c r="K21" t="s">
        <v>107</v>
      </c>
      <c r="L21" t="s">
        <v>11</v>
      </c>
      <c r="O21" s="17" cm="1">
        <f t="array" ref="O21">_xlfn.XLOOKUP(G21,'נתוני עזר'!$F$12:$F$15,_xlfn.XLOOKUP(B21,'נתוני עזר'!$G$11:$M$11,'נתוני עזר'!$G$12:$M$15),,-1)*G21</f>
        <v>7980</v>
      </c>
      <c r="P21" s="12">
        <f>IF(D21=$W$7,S21,IF(OR(AND(B21=$W$14,D21=$W$13),AND(B21=$W$15,D21=$W$13)),T21,U21))</f>
        <v>46063</v>
      </c>
      <c r="S21" s="12">
        <f>DATE(YEAR(H21)+$X$10,$W$8,$X$8)</f>
        <v>46113</v>
      </c>
      <c r="T21" s="12">
        <f>DATE(YEAR(H21)+$W$16,MONTH(H21)+$W$18,$W$17)</f>
        <v>46630</v>
      </c>
      <c r="U21" s="12">
        <f>DATE(YEAR(H21),MONTH(H21)+$W$20,DAY(H21))</f>
        <v>46063</v>
      </c>
      <c r="Z21" t="str">
        <f>IF(OR(B21=$AE$15,B21=$AE$16),AA21,IF(B21=$AE$20,AC21,$AG$25))</f>
        <v>תלוש לארוחת בוקר זוגית</v>
      </c>
      <c r="AA21" s="10" t="str">
        <f t="shared" si="0"/>
        <v>תלוש לארוחת בוקר זוגית</v>
      </c>
      <c r="AC21" s="11" t="str">
        <f t="shared" si="1"/>
        <v>טיסה ללונדון</v>
      </c>
      <c r="AF21">
        <v>4.5</v>
      </c>
      <c r="AG21" t="s">
        <v>86</v>
      </c>
    </row>
    <row r="22" spans="1:33" x14ac:dyDescent="0.25">
      <c r="A22" s="1">
        <v>18</v>
      </c>
      <c r="B22" s="2" t="s">
        <v>15</v>
      </c>
      <c r="C22" s="4" t="s">
        <v>32</v>
      </c>
      <c r="D22" s="1">
        <v>2.5</v>
      </c>
      <c r="E22" s="1">
        <v>50</v>
      </c>
      <c r="F22" s="2" t="s">
        <v>11</v>
      </c>
      <c r="G22" s="16">
        <v>894000</v>
      </c>
      <c r="H22" s="3">
        <v>45663</v>
      </c>
      <c r="I22" t="s">
        <v>109</v>
      </c>
      <c r="J22" t="s">
        <v>108</v>
      </c>
      <c r="O22" s="17" cm="1">
        <f t="array" ref="O22">_xlfn.XLOOKUP(G22,'נתוני עזר'!$F$12:$F$15,_xlfn.XLOOKUP(B22,'נתוני עזר'!$G$11:$M$11,'נתוני עזר'!$G$12:$M$15),,-1)*G22</f>
        <v>44700</v>
      </c>
      <c r="P22" s="12">
        <f>IF(D22=$W$7,S22,IF(OR(AND(B22=$W$14,D22=$W$13),AND(B22=$W$15,D22=$W$13)),T22,U22))</f>
        <v>45844</v>
      </c>
      <c r="S22" s="12">
        <f>DATE(YEAR(H22)+$X$10,$W$8,$X$8)</f>
        <v>46113</v>
      </c>
      <c r="T22" s="12">
        <f>DATE(YEAR(H22)+$W$16,MONTH(H22)+$W$18,$W$17)</f>
        <v>46418</v>
      </c>
      <c r="U22" s="12">
        <f>DATE(YEAR(H22),MONTH(H22)+$W$20,DAY(H22))</f>
        <v>45844</v>
      </c>
      <c r="V22" s="11" t="s">
        <v>94</v>
      </c>
      <c r="W22" s="11"/>
      <c r="X22" s="11"/>
      <c r="Z22" t="str">
        <f>IF(OR(B22=$AE$15,B22=$AE$16),AA22,IF(B22=$AE$20,AC22,$AG$25))</f>
        <v>טיסה לקפריסין</v>
      </c>
      <c r="AA22" s="10" t="str">
        <f t="shared" si="0"/>
        <v>תלוש לארוחת בוקר זוגית</v>
      </c>
      <c r="AC22" s="11" t="str">
        <f t="shared" si="1"/>
        <v>טיסה לקפריסין</v>
      </c>
      <c r="AG22" t="s">
        <v>87</v>
      </c>
    </row>
    <row r="23" spans="1:33" x14ac:dyDescent="0.25">
      <c r="A23" s="1">
        <v>19</v>
      </c>
      <c r="B23" s="2" t="s">
        <v>12</v>
      </c>
      <c r="C23" s="4" t="s">
        <v>33</v>
      </c>
      <c r="D23" s="1">
        <v>3</v>
      </c>
      <c r="E23" s="1">
        <v>75</v>
      </c>
      <c r="F23" s="2" t="s">
        <v>11</v>
      </c>
      <c r="G23" s="16">
        <v>858000</v>
      </c>
      <c r="H23" s="3">
        <v>45661</v>
      </c>
      <c r="O23" s="17" cm="1">
        <f t="array" ref="O23">_xlfn.XLOOKUP(G23,'נתוני עזר'!$F$12:$F$15,_xlfn.XLOOKUP(B23,'נתוני עזר'!$G$11:$M$11,'נתוני עזר'!$G$12:$M$15),,-1)*G23</f>
        <v>25740</v>
      </c>
      <c r="P23" s="12">
        <f>IF(D23=$W$7,S23,IF(OR(AND(B23=$W$14,D23=$W$13),AND(B23=$W$15,D23=$W$13)),T23,U23))</f>
        <v>45842</v>
      </c>
      <c r="S23" s="12">
        <f>DATE(YEAR(H23)+$X$10,$W$8,$X$8)</f>
        <v>46113</v>
      </c>
      <c r="T23" s="12">
        <f>DATE(YEAR(H23)+$W$16,MONTH(H23)+$W$18,$W$17)</f>
        <v>46418</v>
      </c>
      <c r="U23" s="12">
        <f>DATE(YEAR(H23),MONTH(H23)+$W$20,DAY(H23))</f>
        <v>45842</v>
      </c>
      <c r="V23" s="11" t="s">
        <v>95</v>
      </c>
      <c r="W23" s="11"/>
      <c r="X23" s="11"/>
      <c r="Z23" t="str">
        <f>IF(OR(B23=$AE$15,B23=$AE$16),AA23,IF(B23=$AE$20,AC23,$AG$25))</f>
        <v>לא זכאי להטבה</v>
      </c>
      <c r="AA23" s="10" t="str">
        <f t="shared" si="0"/>
        <v>תלוש לארוחת בוקר זוגית</v>
      </c>
      <c r="AC23" s="11" t="str">
        <f t="shared" si="1"/>
        <v>טיסה ללונדון</v>
      </c>
    </row>
    <row r="24" spans="1:33" x14ac:dyDescent="0.25">
      <c r="A24" s="1">
        <v>20</v>
      </c>
      <c r="B24" s="2" t="s">
        <v>9</v>
      </c>
      <c r="C24" s="4" t="s">
        <v>34</v>
      </c>
      <c r="D24" s="1">
        <v>3</v>
      </c>
      <c r="E24" s="1">
        <v>68</v>
      </c>
      <c r="F24" s="1" t="s">
        <v>8</v>
      </c>
      <c r="G24" s="16">
        <v>450000</v>
      </c>
      <c r="H24" s="3">
        <v>45677</v>
      </c>
      <c r="O24" s="17" cm="1">
        <f t="array" ref="O24">_xlfn.XLOOKUP(G24,'נתוני עזר'!$F$12:$F$15,_xlfn.XLOOKUP(B24,'נתוני עזר'!$G$11:$M$11,'נתוני עזר'!$G$12:$M$15),,-1)*G24</f>
        <v>27000</v>
      </c>
      <c r="P24" s="12">
        <f>IF(D24=$W$7,S24,IF(OR(AND(B24=$W$14,D24=$W$13),AND(B24=$W$15,D24=$W$13)),T24,U24))</f>
        <v>45858</v>
      </c>
      <c r="S24" s="12">
        <f>DATE(YEAR(H24)+$X$10,$W$8,$X$8)</f>
        <v>46113</v>
      </c>
      <c r="T24" s="12">
        <f>DATE(YEAR(H24)+$W$16,MONTH(H24)+$W$18,$W$17)</f>
        <v>46418</v>
      </c>
      <c r="U24" s="12">
        <f>DATE(YEAR(H24),MONTH(H24)+$W$20,DAY(H24))</f>
        <v>45858</v>
      </c>
      <c r="V24" s="11" t="s">
        <v>96</v>
      </c>
      <c r="W24" s="11"/>
      <c r="X24" s="11"/>
      <c r="Z24" t="str">
        <f>IF(OR(B24=$AE$15,B24=$AE$16),AA24,IF(B24=$AE$20,AC24,$AG$25))</f>
        <v>תלוש לארוחת בוקר זוגית</v>
      </c>
      <c r="AA24" s="10" t="str">
        <f t="shared" si="0"/>
        <v>תלוש לארוחת בוקר זוגית</v>
      </c>
      <c r="AC24" s="11" t="str">
        <f t="shared" si="1"/>
        <v>טיסה ללונדון</v>
      </c>
    </row>
    <row r="25" spans="1:33" x14ac:dyDescent="0.25">
      <c r="A25" s="1">
        <v>21</v>
      </c>
      <c r="B25" s="2" t="s">
        <v>6</v>
      </c>
      <c r="C25" s="4" t="s">
        <v>35</v>
      </c>
      <c r="D25" s="1">
        <v>8</v>
      </c>
      <c r="E25" s="1">
        <v>220</v>
      </c>
      <c r="F25" s="2" t="s">
        <v>11</v>
      </c>
      <c r="G25" s="16">
        <v>2660000</v>
      </c>
      <c r="H25" s="3">
        <v>45939</v>
      </c>
      <c r="J25">
        <f>DMIN(A4:H66,G4,I20:L22)</f>
        <v>336000</v>
      </c>
      <c r="O25" s="17" cm="1">
        <f t="array" ref="O25">_xlfn.XLOOKUP(G25,'נתוני עזר'!$F$12:$F$15,_xlfn.XLOOKUP(B25,'נתוני עזר'!$G$11:$M$11,'נתוני עזר'!$G$12:$M$15),,-1)*G25</f>
        <v>239400</v>
      </c>
      <c r="P25" s="12">
        <f>IF(D25=$W$7,S25,IF(OR(AND(B25=$W$14,D25=$W$13),AND(B25=$W$15,D25=$W$13)),T25,U25))</f>
        <v>46121</v>
      </c>
      <c r="S25" s="12">
        <f>DATE(YEAR(H25)+$X$10,$W$8,$X$8)</f>
        <v>46113</v>
      </c>
      <c r="T25" s="12">
        <f>DATE(YEAR(H25)+$W$16,MONTH(H25)+$W$18,$W$17)</f>
        <v>46691</v>
      </c>
      <c r="U25" s="12">
        <f>DATE(YEAR(H25),MONTH(H25)+$W$20,DAY(H25))</f>
        <v>46121</v>
      </c>
      <c r="Z25" t="str">
        <f>IF(OR(B25=$AE$15,B25=$AE$16),AA25,IF(B25=$AE$20,AC25,$AG$25))</f>
        <v>תלוש לארוחת בוקר זוגית</v>
      </c>
      <c r="AA25" s="10" t="str">
        <f t="shared" si="0"/>
        <v>תלוש לארוחת בוקר זוגית</v>
      </c>
      <c r="AC25" s="11" t="str">
        <f t="shared" si="1"/>
        <v>טיסה לפריז</v>
      </c>
      <c r="AG25" t="s">
        <v>88</v>
      </c>
    </row>
    <row r="26" spans="1:33" x14ac:dyDescent="0.25">
      <c r="A26" s="1">
        <v>22</v>
      </c>
      <c r="B26" s="2" t="s">
        <v>20</v>
      </c>
      <c r="C26" s="4" t="s">
        <v>36</v>
      </c>
      <c r="D26" s="1">
        <v>4</v>
      </c>
      <c r="E26" s="1">
        <v>95</v>
      </c>
      <c r="F26" s="2" t="s">
        <v>11</v>
      </c>
      <c r="G26" s="16">
        <v>414000</v>
      </c>
      <c r="H26" s="3">
        <v>45750</v>
      </c>
      <c r="O26" s="17" cm="1">
        <f t="array" ref="O26">_xlfn.XLOOKUP(G26,'נתוני עזר'!$F$12:$F$15,_xlfn.XLOOKUP(B26,'נתוני עזר'!$G$11:$M$11,'נתוני עזר'!$G$12:$M$15),,-1)*G26</f>
        <v>8280</v>
      </c>
      <c r="P26" s="12">
        <f>IF(D26=$W$7,S26,IF(OR(AND(B26=$W$14,D26=$W$13),AND(B26=$W$15,D26=$W$13)),T26,U26))</f>
        <v>45933</v>
      </c>
      <c r="S26" s="12">
        <f>DATE(YEAR(H26)+$X$10,$W$8,$X$8)</f>
        <v>46113</v>
      </c>
      <c r="T26" s="12">
        <f>DATE(YEAR(H26)+$W$16,MONTH(H26)+$W$18,$W$17)</f>
        <v>46507</v>
      </c>
      <c r="U26" s="12">
        <f>DATE(YEAR(H26),MONTH(H26)+$W$20,DAY(H26))</f>
        <v>45933</v>
      </c>
      <c r="Z26" t="str">
        <f>IF(OR(B26=$AE$15,B26=$AE$16),AA26,IF(B26=$AE$20,AC26,$AG$25))</f>
        <v>לא זכאי להטבה</v>
      </c>
      <c r="AA26" s="10" t="str">
        <f t="shared" si="0"/>
        <v>תלוש לארוחת בוקר זוגית</v>
      </c>
      <c r="AC26" s="11" t="str">
        <f t="shared" si="1"/>
        <v>טיסה ללונדון</v>
      </c>
    </row>
    <row r="27" spans="1:33" x14ac:dyDescent="0.25">
      <c r="A27" s="1">
        <v>23</v>
      </c>
      <c r="B27" s="2" t="s">
        <v>22</v>
      </c>
      <c r="C27" s="4" t="s">
        <v>37</v>
      </c>
      <c r="D27" s="1">
        <v>4</v>
      </c>
      <c r="E27" s="1">
        <v>88</v>
      </c>
      <c r="F27" s="2" t="s">
        <v>11</v>
      </c>
      <c r="G27" s="16">
        <v>666000</v>
      </c>
      <c r="H27" s="3">
        <v>45777</v>
      </c>
      <c r="O27" s="17" cm="1">
        <f t="array" ref="O27">_xlfn.XLOOKUP(G27,'נתוני עזר'!$F$12:$F$15,_xlfn.XLOOKUP(B27,'נתוני עזר'!$G$11:$M$11,'נתוני עזר'!$G$12:$M$15),,-1)*G27</f>
        <v>39960</v>
      </c>
      <c r="P27" s="12">
        <f>IF(D27=$W$7,S27,IF(OR(AND(B27=$W$14,D27=$W$13),AND(B27=$W$15,D27=$W$13)),T27,U27))</f>
        <v>45960</v>
      </c>
      <c r="S27" s="12">
        <f>DATE(YEAR(H27)+$X$10,$W$8,$X$8)</f>
        <v>46113</v>
      </c>
      <c r="T27" s="12">
        <f>DATE(YEAR(H27)+$W$16,MONTH(H27)+$W$18,$W$17)</f>
        <v>46507</v>
      </c>
      <c r="U27" s="12">
        <f>DATE(YEAR(H27),MONTH(H27)+$W$20,DAY(H27))</f>
        <v>45960</v>
      </c>
      <c r="Z27" t="str">
        <f>IF(OR(B27=$AE$15,B27=$AE$16),AA27,IF(B27=$AE$20,AC27,$AG$25))</f>
        <v>לא זכאי להטבה</v>
      </c>
      <c r="AA27" s="10" t="str">
        <f t="shared" si="0"/>
        <v>תלוש לארוחת בוקר זוגית</v>
      </c>
      <c r="AC27" s="11" t="str">
        <f t="shared" si="1"/>
        <v>טיסה ללונדון</v>
      </c>
    </row>
    <row r="28" spans="1:33" x14ac:dyDescent="0.25">
      <c r="A28" s="1">
        <v>24</v>
      </c>
      <c r="B28" s="2" t="s">
        <v>15</v>
      </c>
      <c r="C28" s="4" t="s">
        <v>38</v>
      </c>
      <c r="D28" s="1">
        <v>3</v>
      </c>
      <c r="E28" s="1">
        <v>82</v>
      </c>
      <c r="F28" s="2" t="s">
        <v>11</v>
      </c>
      <c r="G28" s="16">
        <v>1290000</v>
      </c>
      <c r="H28" s="3">
        <v>45739</v>
      </c>
      <c r="O28" s="17" cm="1">
        <f t="array" ref="O28">_xlfn.XLOOKUP(G28,'נתוני עזר'!$F$12:$F$15,_xlfn.XLOOKUP(B28,'נתוני עזר'!$G$11:$M$11,'נתוני עזר'!$G$12:$M$15),,-1)*G28</f>
        <v>77400</v>
      </c>
      <c r="P28" s="12">
        <f>IF(D28=$W$7,S28,IF(OR(AND(B28=$W$14,D28=$W$13),AND(B28=$W$15,D28=$W$13)),T28,U28))</f>
        <v>45923</v>
      </c>
      <c r="S28" s="12">
        <f>DATE(YEAR(H28)+$X$10,$W$8,$X$8)</f>
        <v>46113</v>
      </c>
      <c r="T28" s="12">
        <f>DATE(YEAR(H28)+$W$16,MONTH(H28)+$W$18,$W$17)</f>
        <v>46477</v>
      </c>
      <c r="U28" s="12">
        <f>DATE(YEAR(H28),MONTH(H28)+$W$20,DAY(H28))</f>
        <v>45923</v>
      </c>
      <c r="Z28" t="str">
        <f>IF(OR(B28=$AE$15,B28=$AE$16),AA28,IF(B28=$AE$20,AC28,$AG$25))</f>
        <v>טיסה ללונדון</v>
      </c>
      <c r="AA28" s="10" t="str">
        <f t="shared" si="0"/>
        <v>תלוש לארוחת בוקר זוגית</v>
      </c>
      <c r="AC28" s="11" t="str">
        <f t="shared" si="1"/>
        <v>טיסה ללונדון</v>
      </c>
    </row>
    <row r="29" spans="1:33" x14ac:dyDescent="0.25">
      <c r="A29" s="1">
        <v>25</v>
      </c>
      <c r="B29" s="2" t="s">
        <v>15</v>
      </c>
      <c r="C29" s="4" t="s">
        <v>39</v>
      </c>
      <c r="D29" s="1">
        <v>3.5</v>
      </c>
      <c r="E29" s="1">
        <v>90</v>
      </c>
      <c r="F29" s="2" t="s">
        <v>11</v>
      </c>
      <c r="G29" s="16">
        <v>462000</v>
      </c>
      <c r="H29" s="3">
        <v>45703</v>
      </c>
      <c r="J29" s="19" t="s">
        <v>110</v>
      </c>
      <c r="O29" s="17" cm="1">
        <f t="array" ref="O29">_xlfn.XLOOKUP(G29,'נתוני עזר'!$F$12:$F$15,_xlfn.XLOOKUP(B29,'נתוני עזר'!$G$11:$M$11,'נתוני עזר'!$G$12:$M$15),,-1)*G29</f>
        <v>9240</v>
      </c>
      <c r="P29" s="12">
        <f>IF(D29=$W$7,S29,IF(OR(AND(B29=$W$14,D29=$W$13),AND(B29=$W$15,D29=$W$13)),T29,U29))</f>
        <v>45884</v>
      </c>
      <c r="S29" s="12">
        <f>DATE(YEAR(H29)+$X$10,$W$8,$X$8)</f>
        <v>46113</v>
      </c>
      <c r="T29" s="12">
        <f>DATE(YEAR(H29)+$W$16,MONTH(H29)+$W$18,$W$17)</f>
        <v>46446</v>
      </c>
      <c r="U29" s="12">
        <f>DATE(YEAR(H29),MONTH(H29)+$W$20,DAY(H29))</f>
        <v>45884</v>
      </c>
      <c r="Z29" t="str">
        <f>IF(OR(B29=$AE$15,B29=$AE$16),AA29,IF(B29=$AE$20,AC29,$AG$25))</f>
        <v>טיסה ללונדון</v>
      </c>
      <c r="AA29" s="10" t="str">
        <f t="shared" si="0"/>
        <v>תלוש לארוחת בוקר זוגית</v>
      </c>
      <c r="AC29" s="11" t="str">
        <f t="shared" si="1"/>
        <v>טיסה ללונדון</v>
      </c>
    </row>
    <row r="30" spans="1:33" ht="26.4" x14ac:dyDescent="0.25">
      <c r="A30" s="1">
        <v>26</v>
      </c>
      <c r="B30" s="2" t="s">
        <v>12</v>
      </c>
      <c r="C30" s="4" t="s">
        <v>40</v>
      </c>
      <c r="D30" s="1">
        <v>3</v>
      </c>
      <c r="E30" s="1">
        <v>68</v>
      </c>
      <c r="F30" s="2" t="s">
        <v>11</v>
      </c>
      <c r="G30" s="16">
        <v>414000</v>
      </c>
      <c r="H30" s="3">
        <v>45971</v>
      </c>
      <c r="I30" s="24" t="s">
        <v>77</v>
      </c>
      <c r="J30" s="23" t="s">
        <v>1</v>
      </c>
      <c r="K30" s="24" t="s">
        <v>76</v>
      </c>
      <c r="L30" s="24" t="s">
        <v>76</v>
      </c>
      <c r="O30" s="17" cm="1">
        <f t="array" ref="O30">_xlfn.XLOOKUP(G30,'נתוני עזר'!$F$12:$F$15,_xlfn.XLOOKUP(B30,'נתוני עזר'!$G$11:$M$11,'נתוני עזר'!$G$12:$M$15),,-1)*G30</f>
        <v>8280</v>
      </c>
      <c r="P30" s="12">
        <f>IF(D30=$W$7,S30,IF(OR(AND(B30=$W$14,D30=$W$13),AND(B30=$W$15,D30=$W$13)),T30,U30))</f>
        <v>46152</v>
      </c>
      <c r="S30" s="12">
        <f>DATE(YEAR(H30)+$X$10,$W$8,$X$8)</f>
        <v>46113</v>
      </c>
      <c r="T30" s="12">
        <f>DATE(YEAR(H30)+$W$16,MONTH(H30)+$W$18,$W$17)</f>
        <v>46721</v>
      </c>
      <c r="U30" s="12">
        <f>DATE(YEAR(H30),MONTH(H30)+$W$20,DAY(H30))</f>
        <v>46152</v>
      </c>
      <c r="Z30" t="str">
        <f>IF(OR(B30=$AE$15,B30=$AE$16),AA30,IF(B30=$AE$20,AC30,$AG$25))</f>
        <v>לא זכאי להטבה</v>
      </c>
      <c r="AA30" s="10" t="str">
        <f t="shared" si="0"/>
        <v>תלוש לארוחת בוקר זוגית</v>
      </c>
      <c r="AC30" s="11" t="str">
        <f t="shared" si="1"/>
        <v>טיסה ללונדון</v>
      </c>
    </row>
    <row r="31" spans="1:33" x14ac:dyDescent="0.25">
      <c r="A31" s="1">
        <v>27</v>
      </c>
      <c r="B31" s="2" t="s">
        <v>15</v>
      </c>
      <c r="C31" s="4" t="s">
        <v>41</v>
      </c>
      <c r="D31" s="1">
        <v>3</v>
      </c>
      <c r="E31" s="1">
        <v>68</v>
      </c>
      <c r="F31" s="2" t="s">
        <v>11</v>
      </c>
      <c r="G31" s="16">
        <v>1128000</v>
      </c>
      <c r="H31" s="3">
        <v>45943</v>
      </c>
      <c r="I31" t="s">
        <v>113</v>
      </c>
      <c r="J31" t="s">
        <v>15</v>
      </c>
      <c r="K31" t="s">
        <v>112</v>
      </c>
      <c r="L31" t="s">
        <v>111</v>
      </c>
      <c r="O31" s="17" cm="1">
        <f t="array" ref="O31">_xlfn.XLOOKUP(G31,'נתוני עזר'!$F$12:$F$15,_xlfn.XLOOKUP(B31,'נתוני עזר'!$G$11:$M$11,'נתוני עזר'!$G$12:$M$15),,-1)*G31</f>
        <v>67680</v>
      </c>
      <c r="P31" s="12">
        <f>IF(D31=$W$7,S31,IF(OR(AND(B31=$W$14,D31=$W$13),AND(B31=$W$15,D31=$W$13)),T31,U31))</f>
        <v>46125</v>
      </c>
      <c r="S31" s="12">
        <f>DATE(YEAR(H31)+$X$10,$W$8,$X$8)</f>
        <v>46113</v>
      </c>
      <c r="T31" s="12">
        <f>DATE(YEAR(H31)+$W$16,MONTH(H31)+$W$18,$W$17)</f>
        <v>46691</v>
      </c>
      <c r="U31" s="12">
        <f>DATE(YEAR(H31),MONTH(H31)+$W$20,DAY(H31))</f>
        <v>46125</v>
      </c>
      <c r="Z31" t="str">
        <f>IF(OR(B31=$AE$15,B31=$AE$16),AA31,IF(B31=$AE$20,AC31,$AG$25))</f>
        <v>טיסה ללונדון</v>
      </c>
      <c r="AA31" s="10" t="str">
        <f t="shared" si="0"/>
        <v>תלוש לארוחת בוקר זוגית</v>
      </c>
      <c r="AC31" s="11" t="str">
        <f t="shared" si="1"/>
        <v>טיסה ללונדון</v>
      </c>
    </row>
    <row r="32" spans="1:33" x14ac:dyDescent="0.25">
      <c r="A32" s="1">
        <v>28</v>
      </c>
      <c r="B32" s="2" t="s">
        <v>17</v>
      </c>
      <c r="C32" s="4" t="s">
        <v>42</v>
      </c>
      <c r="D32" s="1">
        <v>6</v>
      </c>
      <c r="E32" s="1">
        <v>140</v>
      </c>
      <c r="F32" s="2" t="s">
        <v>11</v>
      </c>
      <c r="G32" s="16">
        <v>2460000</v>
      </c>
      <c r="H32" s="3">
        <v>45778</v>
      </c>
      <c r="I32" t="s">
        <v>113</v>
      </c>
      <c r="J32" t="s">
        <v>17</v>
      </c>
      <c r="K32" t="s">
        <v>112</v>
      </c>
      <c r="L32" t="s">
        <v>111</v>
      </c>
      <c r="M32" s="25">
        <f>AVERAGE(G5:G66)</f>
        <v>960441.27419354836</v>
      </c>
      <c r="O32" s="17" cm="1">
        <f t="array" ref="O32">_xlfn.XLOOKUP(G32,'נתוני עזר'!$F$12:$F$15,_xlfn.XLOOKUP(B32,'נתוני עזר'!$G$11:$M$11,'נתוני עזר'!$G$12:$M$15),,-1)*G32</f>
        <v>172200.00000000003</v>
      </c>
      <c r="P32" s="12">
        <f>IF(D32=$W$7,S32,IF(OR(AND(B32=$W$14,D32=$W$13),AND(B32=$W$15,D32=$W$13)),T32,U32))</f>
        <v>46538</v>
      </c>
      <c r="S32" s="12">
        <f>DATE(YEAR(H32)+$X$10,$W$8,$X$8)</f>
        <v>46113</v>
      </c>
      <c r="T32" s="12">
        <f>DATE(YEAR(H32)+$W$16,MONTH(H32)+$W$18,$W$17)</f>
        <v>46538</v>
      </c>
      <c r="U32" s="12">
        <f>DATE(YEAR(H32),MONTH(H32)+$W$20,DAY(H32))</f>
        <v>45962</v>
      </c>
      <c r="Z32" t="str">
        <f>IF(OR(B32=$AE$15,B32=$AE$16),AA32,IF(B32=$AE$20,AC32,$AG$25))</f>
        <v>לא זכאי להטבה</v>
      </c>
      <c r="AA32" s="10" t="str">
        <f t="shared" si="0"/>
        <v>תלוש לארוחת בוקר זוגית</v>
      </c>
      <c r="AC32" s="11" t="str">
        <f t="shared" si="1"/>
        <v>טיסה לפריז</v>
      </c>
    </row>
    <row r="33" spans="1:29" x14ac:dyDescent="0.25">
      <c r="A33" s="1">
        <v>29</v>
      </c>
      <c r="B33" s="2" t="s">
        <v>6</v>
      </c>
      <c r="C33" s="4" t="s">
        <v>43</v>
      </c>
      <c r="D33" s="1">
        <v>7</v>
      </c>
      <c r="E33" s="1">
        <v>180</v>
      </c>
      <c r="F33" s="2" t="s">
        <v>11</v>
      </c>
      <c r="G33" s="16">
        <v>2880000</v>
      </c>
      <c r="H33" s="3">
        <v>45902</v>
      </c>
      <c r="I33" t="s">
        <v>113</v>
      </c>
      <c r="J33" t="s">
        <v>22</v>
      </c>
      <c r="K33" t="s">
        <v>112</v>
      </c>
      <c r="L33" t="s">
        <v>111</v>
      </c>
      <c r="O33" s="17" cm="1">
        <f t="array" ref="O33">_xlfn.XLOOKUP(G33,'נתוני עזר'!$F$12:$F$15,_xlfn.XLOOKUP(B33,'נתוני עזר'!$G$11:$M$11,'נתוני עזר'!$G$12:$M$15),,-1)*G33</f>
        <v>259200</v>
      </c>
      <c r="P33" s="12">
        <f>IF(D33=$W$7,S33,IF(OR(AND(B33=$W$14,D33=$W$13),AND(B33=$W$15,D33=$W$13)),T33,U33))</f>
        <v>46083</v>
      </c>
      <c r="S33" s="12">
        <f>DATE(YEAR(H33)+$X$10,$W$8,$X$8)</f>
        <v>46113</v>
      </c>
      <c r="T33" s="12">
        <f>DATE(YEAR(H33)+$W$16,MONTH(H33)+$W$18,$W$17)</f>
        <v>46660</v>
      </c>
      <c r="U33" s="12">
        <f>DATE(YEAR(H33),MONTH(H33)+$W$20,DAY(H33))</f>
        <v>46083</v>
      </c>
      <c r="Z33" t="str">
        <f>IF(OR(B33=$AE$15,B33=$AE$16),AA33,IF(B33=$AE$20,AC33,$AG$25))</f>
        <v>תלוש לארוחת בוקר זוגית</v>
      </c>
      <c r="AA33" s="10" t="str">
        <f t="shared" si="0"/>
        <v>תלוש לארוחת בוקר זוגית</v>
      </c>
      <c r="AC33" s="11" t="str">
        <f t="shared" si="1"/>
        <v>טיסה לפריז</v>
      </c>
    </row>
    <row r="34" spans="1:29" x14ac:dyDescent="0.25">
      <c r="A34" s="1">
        <v>30</v>
      </c>
      <c r="B34" s="2" t="s">
        <v>17</v>
      </c>
      <c r="C34" s="4" t="s">
        <v>44</v>
      </c>
      <c r="D34" s="1">
        <v>3</v>
      </c>
      <c r="E34" s="1">
        <v>68</v>
      </c>
      <c r="F34" s="2" t="s">
        <v>11</v>
      </c>
      <c r="G34" s="16">
        <v>1470000</v>
      </c>
      <c r="H34" s="3">
        <v>45977</v>
      </c>
      <c r="O34" s="17" cm="1">
        <f t="array" ref="O34">_xlfn.XLOOKUP(G34,'נתוני עזר'!$F$12:$F$15,_xlfn.XLOOKUP(B34,'נתוני עזר'!$G$11:$M$11,'נתוני עזר'!$G$12:$M$15),,-1)*G34</f>
        <v>102900.00000000001</v>
      </c>
      <c r="P34" s="12">
        <f>IF(D34=$W$7,S34,IF(OR(AND(B34=$W$14,D34=$W$13),AND(B34=$W$15,D34=$W$13)),T34,U34))</f>
        <v>46158</v>
      </c>
      <c r="S34" s="12">
        <f>DATE(YEAR(H34)+$X$10,$W$8,$X$8)</f>
        <v>46113</v>
      </c>
      <c r="T34" s="12">
        <f>DATE(YEAR(H34)+$W$16,MONTH(H34)+$W$18,$W$17)</f>
        <v>46721</v>
      </c>
      <c r="U34" s="12">
        <f>DATE(YEAR(H34),MONTH(H34)+$W$20,DAY(H34))</f>
        <v>46158</v>
      </c>
      <c r="Z34" t="str">
        <f>IF(OR(B34=$AE$15,B34=$AE$16),AA34,IF(B34=$AE$20,AC34,$AG$25))</f>
        <v>לא זכאי להטבה</v>
      </c>
      <c r="AA34" s="10" t="str">
        <f t="shared" si="0"/>
        <v>תלוש לארוחת בוקר זוגית</v>
      </c>
      <c r="AC34" s="11" t="str">
        <f t="shared" si="1"/>
        <v>טיסה ללונדון</v>
      </c>
    </row>
    <row r="35" spans="1:29" x14ac:dyDescent="0.25">
      <c r="A35" s="1">
        <v>31</v>
      </c>
      <c r="B35" s="2" t="s">
        <v>22</v>
      </c>
      <c r="C35" s="4" t="s">
        <v>45</v>
      </c>
      <c r="D35" s="1">
        <v>2.5</v>
      </c>
      <c r="E35" s="1">
        <v>35</v>
      </c>
      <c r="F35" s="1" t="s">
        <v>8</v>
      </c>
      <c r="G35" s="16">
        <v>352000</v>
      </c>
      <c r="H35" s="3">
        <v>45670</v>
      </c>
      <c r="O35" s="17" cm="1">
        <f t="array" ref="O35">_xlfn.XLOOKUP(G35,'נתוני עזר'!$F$12:$F$15,_xlfn.XLOOKUP(B35,'נתוני עזר'!$G$11:$M$11,'נתוני עזר'!$G$12:$M$15),,-1)*G35</f>
        <v>10560</v>
      </c>
      <c r="P35" s="12">
        <f>IF(D35=$W$7,S35,IF(OR(AND(B35=$W$14,D35=$W$13),AND(B35=$W$15,D35=$W$13)),T35,U35))</f>
        <v>45851</v>
      </c>
      <c r="S35" s="12">
        <f>DATE(YEAR(H35)+$X$10,$W$8,$X$8)</f>
        <v>46113</v>
      </c>
      <c r="T35" s="12">
        <f>DATE(YEAR(H35)+$W$16,MONTH(H35)+$W$18,$W$17)</f>
        <v>46418</v>
      </c>
      <c r="U35" s="12">
        <f>DATE(YEAR(H35),MONTH(H35)+$W$20,DAY(H35))</f>
        <v>45851</v>
      </c>
      <c r="Z35" t="str">
        <f>IF(OR(B35=$AE$15,B35=$AE$16),AA35,IF(B35=$AE$20,AC35,$AG$25))</f>
        <v>לא זכאי להטבה</v>
      </c>
      <c r="AA35" s="10" t="str">
        <f t="shared" si="0"/>
        <v>הופעה בזאפה</v>
      </c>
      <c r="AC35" s="11" t="str">
        <f t="shared" si="1"/>
        <v>טיסה לקפריסין</v>
      </c>
    </row>
    <row r="36" spans="1:29" x14ac:dyDescent="0.25">
      <c r="A36" s="1">
        <v>32</v>
      </c>
      <c r="B36" s="2" t="s">
        <v>12</v>
      </c>
      <c r="C36" s="4" t="s">
        <v>46</v>
      </c>
      <c r="D36" s="1">
        <v>4</v>
      </c>
      <c r="E36" s="1">
        <v>115</v>
      </c>
      <c r="F36" s="2" t="s">
        <v>11</v>
      </c>
      <c r="G36" s="16">
        <v>510000</v>
      </c>
      <c r="H36" s="3">
        <v>45997</v>
      </c>
      <c r="K36">
        <f>DCOUNT(A4:H66,A4,I30:L33)</f>
        <v>1</v>
      </c>
      <c r="O36" s="17" cm="1">
        <f t="array" ref="O36">_xlfn.XLOOKUP(G36,'נתוני עזר'!$F$12:$F$15,_xlfn.XLOOKUP(B36,'נתוני עזר'!$G$11:$M$11,'נתוני עזר'!$G$12:$M$15),,-1)*G36</f>
        <v>15300</v>
      </c>
      <c r="P36" s="12">
        <f>IF(D36=$W$7,S36,IF(OR(AND(B36=$W$14,D36=$W$13),AND(B36=$W$15,D36=$W$13)),T36,U36))</f>
        <v>46179</v>
      </c>
      <c r="S36" s="12">
        <f>DATE(YEAR(H36)+$X$10,$W$8,$X$8)</f>
        <v>46113</v>
      </c>
      <c r="T36" s="12">
        <f>DATE(YEAR(H36)+$W$16,MONTH(H36)+$W$18,$W$17)</f>
        <v>46752</v>
      </c>
      <c r="U36" s="12">
        <f>DATE(YEAR(H36),MONTH(H36)+$W$20,DAY(H36))</f>
        <v>46179</v>
      </c>
      <c r="Z36" t="str">
        <f>IF(OR(B36=$AE$15,B36=$AE$16),AA36,IF(B36=$AE$20,AC36,$AG$25))</f>
        <v>לא זכאי להטבה</v>
      </c>
      <c r="AA36" s="10" t="str">
        <f t="shared" si="0"/>
        <v>תלוש לארוחת בוקר זוגית</v>
      </c>
      <c r="AC36" s="11" t="str">
        <f t="shared" si="1"/>
        <v>טיסה ללונדון</v>
      </c>
    </row>
    <row r="37" spans="1:29" x14ac:dyDescent="0.25">
      <c r="A37" s="1">
        <v>33</v>
      </c>
      <c r="B37" s="2" t="s">
        <v>12</v>
      </c>
      <c r="C37" s="4" t="s">
        <v>47</v>
      </c>
      <c r="D37" s="1">
        <v>3</v>
      </c>
      <c r="E37" s="1">
        <v>80</v>
      </c>
      <c r="F37" s="2" t="s">
        <v>11</v>
      </c>
      <c r="G37" s="16">
        <v>1320000</v>
      </c>
      <c r="H37" s="3">
        <v>45679</v>
      </c>
      <c r="O37" s="17" cm="1">
        <f t="array" ref="O37">_xlfn.XLOOKUP(G37,'נתוני עזר'!$F$12:$F$15,_xlfn.XLOOKUP(B37,'נתוני עזר'!$G$11:$M$11,'נתוני עזר'!$G$12:$M$15),,-1)*G37</f>
        <v>79200</v>
      </c>
      <c r="P37" s="12">
        <f>IF(D37=$W$7,S37,IF(OR(AND(B37=$W$14,D37=$W$13),AND(B37=$W$15,D37=$W$13)),T37,U37))</f>
        <v>45860</v>
      </c>
      <c r="S37" s="12">
        <f>DATE(YEAR(H37)+$X$10,$W$8,$X$8)</f>
        <v>46113</v>
      </c>
      <c r="T37" s="12">
        <f>DATE(YEAR(H37)+$W$16,MONTH(H37)+$W$18,$W$17)</f>
        <v>46418</v>
      </c>
      <c r="U37" s="12">
        <f>DATE(YEAR(H37),MONTH(H37)+$W$20,DAY(H37))</f>
        <v>45860</v>
      </c>
      <c r="Z37" t="str">
        <f>IF(OR(B37=$AE$15,B37=$AE$16),AA37,IF(B37=$AE$20,AC37,$AG$25))</f>
        <v>לא זכאי להטבה</v>
      </c>
      <c r="AA37" s="10" t="str">
        <f t="shared" si="0"/>
        <v>תלוש לארוחת בוקר זוגית</v>
      </c>
      <c r="AC37" s="11" t="str">
        <f t="shared" si="1"/>
        <v>טיסה ללונדון</v>
      </c>
    </row>
    <row r="38" spans="1:29" x14ac:dyDescent="0.25">
      <c r="A38" s="1">
        <v>34</v>
      </c>
      <c r="B38" s="2" t="s">
        <v>9</v>
      </c>
      <c r="C38" s="4" t="s">
        <v>48</v>
      </c>
      <c r="D38" s="1">
        <v>5</v>
      </c>
      <c r="E38" s="1">
        <v>165</v>
      </c>
      <c r="F38" s="2" t="s">
        <v>11</v>
      </c>
      <c r="G38" s="16">
        <v>2808000</v>
      </c>
      <c r="H38" s="3">
        <v>45807</v>
      </c>
      <c r="O38" s="17" cm="1">
        <f t="array" ref="O38">_xlfn.XLOOKUP(G38,'נתוני עזר'!$F$12:$F$15,_xlfn.XLOOKUP(B38,'נתוני עזר'!$G$11:$M$11,'נתוני עזר'!$G$12:$M$15),,-1)*G38</f>
        <v>252720</v>
      </c>
      <c r="P38" s="12">
        <f>IF(D38=$W$7,S38,IF(OR(AND(B38=$W$14,D38=$W$13),AND(B38=$W$15,D38=$W$13)),T38,U38))</f>
        <v>45991</v>
      </c>
      <c r="S38" s="12">
        <f>DATE(YEAR(H38)+$X$10,$W$8,$X$8)</f>
        <v>46113</v>
      </c>
      <c r="T38" s="12">
        <f>DATE(YEAR(H38)+$W$16,MONTH(H38)+$W$18,$W$17)</f>
        <v>46538</v>
      </c>
      <c r="U38" s="12">
        <f>DATE(YEAR(H38),MONTH(H38)+$W$20,DAY(H38))</f>
        <v>45991</v>
      </c>
      <c r="Z38" t="str">
        <f>IF(OR(B38=$AE$15,B38=$AE$16),AA38,IF(B38=$AE$20,AC38,$AG$25))</f>
        <v>תלוש לארוחת בוקר זוגית</v>
      </c>
      <c r="AA38" s="10" t="str">
        <f t="shared" si="0"/>
        <v>תלוש לארוחת בוקר זוגית</v>
      </c>
      <c r="AC38" s="11" t="str">
        <f t="shared" si="1"/>
        <v>טיסה לפריז</v>
      </c>
    </row>
    <row r="39" spans="1:29" x14ac:dyDescent="0.25">
      <c r="A39" s="1">
        <v>35</v>
      </c>
      <c r="B39" s="2" t="s">
        <v>15</v>
      </c>
      <c r="C39" s="4" t="s">
        <v>49</v>
      </c>
      <c r="D39" s="1">
        <v>5</v>
      </c>
      <c r="E39" s="1">
        <v>110</v>
      </c>
      <c r="F39" s="2" t="s">
        <v>11</v>
      </c>
      <c r="G39" s="16">
        <v>666000</v>
      </c>
      <c r="H39" s="3">
        <v>45864</v>
      </c>
      <c r="O39" s="17" cm="1">
        <f t="array" ref="O39">_xlfn.XLOOKUP(G39,'נתוני עזר'!$F$12:$F$15,_xlfn.XLOOKUP(B39,'נתוני עזר'!$G$11:$M$11,'נתוני עזר'!$G$12:$M$15),,-1)*G39</f>
        <v>33300</v>
      </c>
      <c r="P39" s="12">
        <f>IF(D39=$W$7,S39,IF(OR(AND(B39=$W$14,D39=$W$13),AND(B39=$W$15,D39=$W$13)),T39,U39))</f>
        <v>46048</v>
      </c>
      <c r="S39" s="12">
        <f>DATE(YEAR(H39)+$X$10,$W$8,$X$8)</f>
        <v>46113</v>
      </c>
      <c r="T39" s="12">
        <f>DATE(YEAR(H39)+$W$16,MONTH(H39)+$W$18,$W$17)</f>
        <v>46599</v>
      </c>
      <c r="U39" s="12">
        <f>DATE(YEAR(H39),MONTH(H39)+$W$20,DAY(H39))</f>
        <v>46048</v>
      </c>
      <c r="Z39" t="str">
        <f>IF(OR(B39=$AE$15,B39=$AE$16),AA39,IF(B39=$AE$20,AC39,$AG$25))</f>
        <v>טיסה לפריז</v>
      </c>
      <c r="AA39" s="10" t="str">
        <f t="shared" si="0"/>
        <v>תלוש לארוחת בוקר זוגית</v>
      </c>
      <c r="AC39" s="11" t="str">
        <f t="shared" si="1"/>
        <v>טיסה לפריז</v>
      </c>
    </row>
    <row r="40" spans="1:29" x14ac:dyDescent="0.25">
      <c r="A40" s="1">
        <v>36</v>
      </c>
      <c r="B40" s="2" t="s">
        <v>22</v>
      </c>
      <c r="C40" s="4" t="s">
        <v>50</v>
      </c>
      <c r="D40" s="1">
        <v>7</v>
      </c>
      <c r="E40" s="1">
        <v>130</v>
      </c>
      <c r="F40" s="2" t="s">
        <v>11</v>
      </c>
      <c r="G40" s="16">
        <v>2370000</v>
      </c>
      <c r="H40" s="3">
        <v>45710</v>
      </c>
      <c r="O40" s="17" cm="1">
        <f t="array" ref="O40">_xlfn.XLOOKUP(G40,'נתוני עזר'!$F$12:$F$15,_xlfn.XLOOKUP(B40,'נתוני עזר'!$G$11:$M$11,'נתוני עזר'!$G$12:$M$15),,-1)*G40</f>
        <v>165900.00000000003</v>
      </c>
      <c r="P40" s="12">
        <f>IF(D40=$W$7,S40,IF(OR(AND(B40=$W$14,D40=$W$13),AND(B40=$W$15,D40=$W$13)),T40,U40))</f>
        <v>45891</v>
      </c>
      <c r="S40" s="12">
        <f>DATE(YEAR(H40)+$X$10,$W$8,$X$8)</f>
        <v>46113</v>
      </c>
      <c r="T40" s="12">
        <f>DATE(YEAR(H40)+$W$16,MONTH(H40)+$W$18,$W$17)</f>
        <v>46446</v>
      </c>
      <c r="U40" s="12">
        <f>DATE(YEAR(H40),MONTH(H40)+$W$20,DAY(H40))</f>
        <v>45891</v>
      </c>
      <c r="Z40" t="str">
        <f>IF(OR(B40=$AE$15,B40=$AE$16),AA40,IF(B40=$AE$20,AC40,$AG$25))</f>
        <v>לא זכאי להטבה</v>
      </c>
      <c r="AA40" s="10" t="str">
        <f t="shared" si="0"/>
        <v>תלוש לארוחת בוקר זוגית</v>
      </c>
      <c r="AC40" s="11" t="str">
        <f t="shared" si="1"/>
        <v>טיסה לפריז</v>
      </c>
    </row>
    <row r="41" spans="1:29" x14ac:dyDescent="0.25">
      <c r="A41" s="1">
        <v>37</v>
      </c>
      <c r="B41" s="2" t="s">
        <v>15</v>
      </c>
      <c r="C41" s="4" t="s">
        <v>51</v>
      </c>
      <c r="D41" s="1">
        <v>5</v>
      </c>
      <c r="E41" s="1">
        <v>140</v>
      </c>
      <c r="F41" s="2" t="s">
        <v>11</v>
      </c>
      <c r="G41" s="16">
        <v>516000</v>
      </c>
      <c r="H41" s="3">
        <v>45739</v>
      </c>
      <c r="O41" s="17" cm="1">
        <f t="array" ref="O41">_xlfn.XLOOKUP(G41,'נתוני עזר'!$F$12:$F$15,_xlfn.XLOOKUP(B41,'נתוני עזר'!$G$11:$M$11,'נתוני עזר'!$G$12:$M$15),,-1)*G41</f>
        <v>10320</v>
      </c>
      <c r="P41" s="12">
        <f>IF(D41=$W$7,S41,IF(OR(AND(B41=$W$14,D41=$W$13),AND(B41=$W$15,D41=$W$13)),T41,U41))</f>
        <v>45923</v>
      </c>
      <c r="S41" s="12">
        <f>DATE(YEAR(H41)+$X$10,$W$8,$X$8)</f>
        <v>46113</v>
      </c>
      <c r="T41" s="12">
        <f>DATE(YEAR(H41)+$W$16,MONTH(H41)+$W$18,$W$17)</f>
        <v>46477</v>
      </c>
      <c r="U41" s="12">
        <f>DATE(YEAR(H41),MONTH(H41)+$W$20,DAY(H41))</f>
        <v>45923</v>
      </c>
      <c r="Z41" t="str">
        <f>IF(OR(B41=$AE$15,B41=$AE$16),AA41,IF(B41=$AE$20,AC41,$AG$25))</f>
        <v>טיסה לפריז</v>
      </c>
      <c r="AA41" s="10" t="str">
        <f t="shared" si="0"/>
        <v>תלוש לארוחת בוקר זוגית</v>
      </c>
      <c r="AC41" s="11" t="str">
        <f t="shared" si="1"/>
        <v>טיסה לפריז</v>
      </c>
    </row>
    <row r="42" spans="1:29" x14ac:dyDescent="0.25">
      <c r="A42" s="1">
        <v>38</v>
      </c>
      <c r="B42" s="2" t="s">
        <v>22</v>
      </c>
      <c r="C42" s="4" t="s">
        <v>52</v>
      </c>
      <c r="D42" s="1">
        <v>3.5</v>
      </c>
      <c r="E42" s="1">
        <v>85</v>
      </c>
      <c r="F42" s="2" t="s">
        <v>11</v>
      </c>
      <c r="G42" s="16">
        <v>696000</v>
      </c>
      <c r="H42" s="3">
        <v>45922</v>
      </c>
      <c r="O42" s="17" cm="1">
        <f t="array" ref="O42">_xlfn.XLOOKUP(G42,'נתוני עזר'!$F$12:$F$15,_xlfn.XLOOKUP(B42,'נתוני עזר'!$G$11:$M$11,'נתוני עזר'!$G$12:$M$15),,-1)*G42</f>
        <v>41760</v>
      </c>
      <c r="P42" s="12">
        <f>IF(D42=$W$7,S42,IF(OR(AND(B42=$W$14,D42=$W$13),AND(B42=$W$15,D42=$W$13)),T42,U42))</f>
        <v>46103</v>
      </c>
      <c r="S42" s="12">
        <f>DATE(YEAR(H42)+$X$10,$W$8,$X$8)</f>
        <v>46113</v>
      </c>
      <c r="T42" s="12">
        <f>DATE(YEAR(H42)+$W$16,MONTH(H42)+$W$18,$W$17)</f>
        <v>46660</v>
      </c>
      <c r="U42" s="12">
        <f>DATE(YEAR(H42),MONTH(H42)+$W$20,DAY(H42))</f>
        <v>46103</v>
      </c>
      <c r="Z42" t="str">
        <f>IF(OR(B42=$AE$15,B42=$AE$16),AA42,IF(B42=$AE$20,AC42,$AG$25))</f>
        <v>לא זכאי להטבה</v>
      </c>
      <c r="AA42" s="10" t="str">
        <f t="shared" si="0"/>
        <v>תלוש לארוחת בוקר זוגית</v>
      </c>
      <c r="AC42" s="11" t="str">
        <f t="shared" si="1"/>
        <v>טיסה ללונדון</v>
      </c>
    </row>
    <row r="43" spans="1:29" x14ac:dyDescent="0.25">
      <c r="A43" s="1">
        <v>39</v>
      </c>
      <c r="B43" s="2" t="s">
        <v>17</v>
      </c>
      <c r="C43" s="4" t="s">
        <v>53</v>
      </c>
      <c r="D43" s="1">
        <v>2</v>
      </c>
      <c r="E43" s="1">
        <v>40</v>
      </c>
      <c r="F43" s="2" t="s">
        <v>11</v>
      </c>
      <c r="G43" s="16">
        <v>960000</v>
      </c>
      <c r="H43" s="3">
        <v>45815</v>
      </c>
      <c r="O43" s="17" cm="1">
        <f t="array" ref="O43">_xlfn.XLOOKUP(G43,'נתוני עזר'!$F$12:$F$15,_xlfn.XLOOKUP(B43,'נתוני עזר'!$G$11:$M$11,'נתוני עזר'!$G$12:$M$15),,-1)*G43</f>
        <v>48000</v>
      </c>
      <c r="P43" s="12">
        <f>IF(D43=$W$7,S43,IF(OR(AND(B43=$W$14,D43=$W$13),AND(B43=$W$15,D43=$W$13)),T43,U43))</f>
        <v>46113</v>
      </c>
      <c r="S43" s="12">
        <f>DATE(YEAR(H43)+$X$10,$W$8,$X$8)</f>
        <v>46113</v>
      </c>
      <c r="T43" s="12">
        <f>DATE(YEAR(H43)+$W$16,MONTH(H43)+$W$18,$W$17)</f>
        <v>46568</v>
      </c>
      <c r="U43" s="12">
        <f>DATE(YEAR(H43),MONTH(H43)+$W$20,DAY(H43))</f>
        <v>45998</v>
      </c>
      <c r="Z43" t="str">
        <f>IF(OR(B43=$AE$15,B43=$AE$16),AA43,IF(B43=$AE$20,AC43,$AG$25))</f>
        <v>לא זכאי להטבה</v>
      </c>
      <c r="AA43" s="10" t="str">
        <f t="shared" si="0"/>
        <v>הופעה בזאפה</v>
      </c>
      <c r="AC43" s="11" t="str">
        <f t="shared" si="1"/>
        <v>טיסה לקפריסין</v>
      </c>
    </row>
    <row r="44" spans="1:29" x14ac:dyDescent="0.25">
      <c r="A44" s="1">
        <v>40</v>
      </c>
      <c r="B44" s="2" t="s">
        <v>6</v>
      </c>
      <c r="C44" s="4" t="s">
        <v>54</v>
      </c>
      <c r="D44" s="1">
        <v>4</v>
      </c>
      <c r="E44" s="1">
        <v>90</v>
      </c>
      <c r="F44" s="2" t="s">
        <v>11</v>
      </c>
      <c r="G44" s="16">
        <v>1470000</v>
      </c>
      <c r="H44" s="3">
        <v>45794</v>
      </c>
      <c r="O44" s="17" cm="1">
        <f t="array" ref="O44">_xlfn.XLOOKUP(G44,'נתוני עזר'!$F$12:$F$15,_xlfn.XLOOKUP(B44,'נתוני עזר'!$G$11:$M$11,'נתוני עזר'!$G$12:$M$15),,-1)*G44</f>
        <v>132300</v>
      </c>
      <c r="P44" s="12">
        <f>IF(D44=$W$7,S44,IF(OR(AND(B44=$W$14,D44=$W$13),AND(B44=$W$15,D44=$W$13)),T44,U44))</f>
        <v>45978</v>
      </c>
      <c r="S44" s="12">
        <f>DATE(YEAR(H44)+$X$10,$W$8,$X$8)</f>
        <v>46113</v>
      </c>
      <c r="T44" s="12">
        <f>DATE(YEAR(H44)+$W$16,MONTH(H44)+$W$18,$W$17)</f>
        <v>46538</v>
      </c>
      <c r="U44" s="12">
        <f>DATE(YEAR(H44),MONTH(H44)+$W$20,DAY(H44))</f>
        <v>45978</v>
      </c>
      <c r="Z44" t="str">
        <f>IF(OR(B44=$AE$15,B44=$AE$16),AA44,IF(B44=$AE$20,AC44,$AG$25))</f>
        <v>תלוש לארוחת בוקר זוגית</v>
      </c>
      <c r="AA44" s="10" t="str">
        <f t="shared" si="0"/>
        <v>תלוש לארוחת בוקר זוגית</v>
      </c>
      <c r="AC44" s="11" t="str">
        <f t="shared" si="1"/>
        <v>טיסה ללונדון</v>
      </c>
    </row>
    <row r="45" spans="1:29" x14ac:dyDescent="0.25">
      <c r="A45" s="1">
        <v>41</v>
      </c>
      <c r="B45" s="2" t="s">
        <v>9</v>
      </c>
      <c r="C45" s="4" t="s">
        <v>55</v>
      </c>
      <c r="D45" s="1">
        <v>6</v>
      </c>
      <c r="E45" s="1">
        <v>120</v>
      </c>
      <c r="F45" s="2" t="s">
        <v>11</v>
      </c>
      <c r="G45" s="16">
        <v>798000</v>
      </c>
      <c r="H45" s="3">
        <v>45761</v>
      </c>
      <c r="O45" s="17" cm="1">
        <f t="array" ref="O45">_xlfn.XLOOKUP(G45,'נתוני עזר'!$F$12:$F$15,_xlfn.XLOOKUP(B45,'נתוני עזר'!$G$11:$M$11,'נתוני עזר'!$G$12:$M$15),,-1)*G45</f>
        <v>55860.000000000007</v>
      </c>
      <c r="P45" s="12">
        <f>IF(D45=$W$7,S45,IF(OR(AND(B45=$W$14,D45=$W$13),AND(B45=$W$15,D45=$W$13)),T45,U45))</f>
        <v>45944</v>
      </c>
      <c r="S45" s="12">
        <f>DATE(YEAR(H45)+$X$10,$W$8,$X$8)</f>
        <v>46113</v>
      </c>
      <c r="T45" s="12">
        <f>DATE(YEAR(H45)+$W$16,MONTH(H45)+$W$18,$W$17)</f>
        <v>46507</v>
      </c>
      <c r="U45" s="12">
        <f>DATE(YEAR(H45),MONTH(H45)+$W$20,DAY(H45))</f>
        <v>45944</v>
      </c>
      <c r="Z45" t="str">
        <f>IF(OR(B45=$AE$15,B45=$AE$16),AA45,IF(B45=$AE$20,AC45,$AG$25))</f>
        <v>תלוש לארוחת בוקר זוגית</v>
      </c>
      <c r="AA45" s="10" t="str">
        <f t="shared" si="0"/>
        <v>תלוש לארוחת בוקר זוגית</v>
      </c>
      <c r="AC45" s="11" t="str">
        <f t="shared" si="1"/>
        <v>טיסה לפריז</v>
      </c>
    </row>
    <row r="46" spans="1:29" x14ac:dyDescent="0.25">
      <c r="A46" s="1">
        <v>42</v>
      </c>
      <c r="B46" s="2" t="s">
        <v>17</v>
      </c>
      <c r="C46" s="4" t="s">
        <v>56</v>
      </c>
      <c r="D46" s="1">
        <v>3.5</v>
      </c>
      <c r="E46" s="1">
        <v>85</v>
      </c>
      <c r="F46" s="2" t="s">
        <v>11</v>
      </c>
      <c r="G46" s="16">
        <v>612000</v>
      </c>
      <c r="H46" s="3">
        <v>45853</v>
      </c>
      <c r="O46" s="17" cm="1">
        <f t="array" ref="O46">_xlfn.XLOOKUP(G46,'נתוני עזר'!$F$12:$F$15,_xlfn.XLOOKUP(B46,'נתוני עזר'!$G$11:$M$11,'נתוני עזר'!$G$12:$M$15),,-1)*G46</f>
        <v>30600</v>
      </c>
      <c r="P46" s="12">
        <f>IF(D46=$W$7,S46,IF(OR(AND(B46=$W$14,D46=$W$13),AND(B46=$W$15,D46=$W$13)),T46,U46))</f>
        <v>46037</v>
      </c>
      <c r="S46" s="12">
        <f>DATE(YEAR(H46)+$X$10,$W$8,$X$8)</f>
        <v>46113</v>
      </c>
      <c r="T46" s="12">
        <f>DATE(YEAR(H46)+$W$16,MONTH(H46)+$W$18,$W$17)</f>
        <v>46599</v>
      </c>
      <c r="U46" s="12">
        <f>DATE(YEAR(H46),MONTH(H46)+$W$20,DAY(H46))</f>
        <v>46037</v>
      </c>
      <c r="Z46" t="str">
        <f>IF(OR(B46=$AE$15,B46=$AE$16),AA46,IF(B46=$AE$20,AC46,$AG$25))</f>
        <v>לא זכאי להטבה</v>
      </c>
      <c r="AA46" s="10" t="str">
        <f t="shared" si="0"/>
        <v>תלוש לארוחת בוקר זוגית</v>
      </c>
      <c r="AC46" s="11" t="str">
        <f t="shared" si="1"/>
        <v>טיסה ללונדון</v>
      </c>
    </row>
    <row r="47" spans="1:29" x14ac:dyDescent="0.25">
      <c r="A47" s="1">
        <v>43</v>
      </c>
      <c r="B47" s="2" t="s">
        <v>20</v>
      </c>
      <c r="C47" s="4" t="s">
        <v>57</v>
      </c>
      <c r="D47" s="1">
        <v>8</v>
      </c>
      <c r="E47" s="1">
        <v>250</v>
      </c>
      <c r="F47" s="2" t="s">
        <v>11</v>
      </c>
      <c r="G47" s="16">
        <v>3060000</v>
      </c>
      <c r="H47" s="3">
        <v>45759</v>
      </c>
      <c r="O47" s="17" cm="1">
        <f t="array" ref="O47">_xlfn.XLOOKUP(G47,'נתוני עזר'!$F$12:$F$15,_xlfn.XLOOKUP(B47,'נתוני עזר'!$G$11:$M$11,'נתוני עזר'!$G$12:$M$15),,-1)*G47</f>
        <v>122400</v>
      </c>
      <c r="P47" s="12">
        <f>IF(D47=$W$7,S47,IF(OR(AND(B47=$W$14,D47=$W$13),AND(B47=$W$15,D47=$W$13)),T47,U47))</f>
        <v>45942</v>
      </c>
      <c r="S47" s="12">
        <f>DATE(YEAR(H47)+$X$10,$W$8,$X$8)</f>
        <v>46113</v>
      </c>
      <c r="T47" s="12">
        <f>DATE(YEAR(H47)+$W$16,MONTH(H47)+$W$18,$W$17)</f>
        <v>46507</v>
      </c>
      <c r="U47" s="12">
        <f>DATE(YEAR(H47),MONTH(H47)+$W$20,DAY(H47))</f>
        <v>45942</v>
      </c>
      <c r="Z47" t="str">
        <f>IF(OR(B47=$AE$15,B47=$AE$16),AA47,IF(B47=$AE$20,AC47,$AG$25))</f>
        <v>לא זכאי להטבה</v>
      </c>
      <c r="AA47" s="10" t="str">
        <f t="shared" si="0"/>
        <v>תלוש לארוחת בוקר זוגית</v>
      </c>
      <c r="AC47" s="11" t="str">
        <f t="shared" si="1"/>
        <v>טיסה לפריז</v>
      </c>
    </row>
    <row r="48" spans="1:29" x14ac:dyDescent="0.25">
      <c r="A48" s="1">
        <v>44</v>
      </c>
      <c r="B48" s="2" t="s">
        <v>6</v>
      </c>
      <c r="C48" s="4" t="s">
        <v>58</v>
      </c>
      <c r="D48" s="1">
        <v>3.5</v>
      </c>
      <c r="E48" s="1">
        <v>100</v>
      </c>
      <c r="F48" s="2" t="s">
        <v>11</v>
      </c>
      <c r="G48" s="16">
        <v>462000</v>
      </c>
      <c r="H48" s="3">
        <v>45748</v>
      </c>
      <c r="O48" s="17" cm="1">
        <f t="array" ref="O48">_xlfn.XLOOKUP(G48,'נתוני עזר'!$F$12:$F$15,_xlfn.XLOOKUP(B48,'נתוני עזר'!$G$11:$M$11,'נתוני עזר'!$G$12:$M$15),,-1)*G48</f>
        <v>13860</v>
      </c>
      <c r="P48" s="12">
        <f>IF(D48=$W$7,S48,IF(OR(AND(B48=$W$14,D48=$W$13),AND(B48=$W$15,D48=$W$13)),T48,U48))</f>
        <v>45931</v>
      </c>
      <c r="S48" s="12">
        <f>DATE(YEAR(H48)+$X$10,$W$8,$X$8)</f>
        <v>46113</v>
      </c>
      <c r="T48" s="12">
        <f>DATE(YEAR(H48)+$W$16,MONTH(H48)+$W$18,$W$17)</f>
        <v>46507</v>
      </c>
      <c r="U48" s="12">
        <f>DATE(YEAR(H48),MONTH(H48)+$W$20,DAY(H48))</f>
        <v>45931</v>
      </c>
      <c r="Z48" t="str">
        <f>IF(OR(B48=$AE$15,B48=$AE$16),AA48,IF(B48=$AE$20,AC48,$AG$25))</f>
        <v>תלוש לארוחת בוקר זוגית</v>
      </c>
      <c r="AA48" s="10" t="str">
        <f t="shared" si="0"/>
        <v>תלוש לארוחת בוקר זוגית</v>
      </c>
      <c r="AC48" s="11" t="str">
        <f t="shared" si="1"/>
        <v>טיסה ללונדון</v>
      </c>
    </row>
    <row r="49" spans="1:29" x14ac:dyDescent="0.25">
      <c r="A49" s="1">
        <v>45</v>
      </c>
      <c r="B49" s="2" t="s">
        <v>15</v>
      </c>
      <c r="C49" s="4" t="s">
        <v>59</v>
      </c>
      <c r="D49" s="1">
        <v>4</v>
      </c>
      <c r="E49" s="1">
        <v>100</v>
      </c>
      <c r="F49" s="2" t="s">
        <v>11</v>
      </c>
      <c r="G49" s="16">
        <v>504000</v>
      </c>
      <c r="H49" s="3">
        <v>45901</v>
      </c>
      <c r="O49" s="17" cm="1">
        <f t="array" ref="O49">_xlfn.XLOOKUP(G49,'נתוני עזר'!$F$12:$F$15,_xlfn.XLOOKUP(B49,'נתוני עזר'!$G$11:$M$11,'נתוני עזר'!$G$12:$M$15),,-1)*G49</f>
        <v>10080</v>
      </c>
      <c r="P49" s="12">
        <f>IF(D49=$W$7,S49,IF(OR(AND(B49=$W$14,D49=$W$13),AND(B49=$W$15,D49=$W$13)),T49,U49))</f>
        <v>46082</v>
      </c>
      <c r="S49" s="12">
        <f>DATE(YEAR(H49)+$X$10,$W$8,$X$8)</f>
        <v>46113</v>
      </c>
      <c r="T49" s="12">
        <f>DATE(YEAR(H49)+$W$16,MONTH(H49)+$W$18,$W$17)</f>
        <v>46660</v>
      </c>
      <c r="U49" s="12">
        <f>DATE(YEAR(H49),MONTH(H49)+$W$20,DAY(H49))</f>
        <v>46082</v>
      </c>
      <c r="Z49" t="str">
        <f>IF(OR(B49=$AE$15,B49=$AE$16),AA49,IF(B49=$AE$20,AC49,$AG$25))</f>
        <v>טיסה ללונדון</v>
      </c>
      <c r="AA49" s="10" t="str">
        <f t="shared" si="0"/>
        <v>תלוש לארוחת בוקר זוגית</v>
      </c>
      <c r="AC49" s="11" t="str">
        <f t="shared" si="1"/>
        <v>טיסה ללונדון</v>
      </c>
    </row>
    <row r="50" spans="1:29" x14ac:dyDescent="0.25">
      <c r="A50" s="1">
        <v>46</v>
      </c>
      <c r="B50" s="2" t="s">
        <v>22</v>
      </c>
      <c r="C50" s="4" t="s">
        <v>60</v>
      </c>
      <c r="D50" s="1">
        <v>5</v>
      </c>
      <c r="E50" s="1">
        <v>180</v>
      </c>
      <c r="F50" s="2" t="s">
        <v>11</v>
      </c>
      <c r="G50" s="16">
        <v>1020000</v>
      </c>
      <c r="H50" s="3">
        <v>45881</v>
      </c>
      <c r="O50" s="17" cm="1">
        <f t="array" ref="O50">_xlfn.XLOOKUP(G50,'נתוני עזר'!$F$12:$F$15,_xlfn.XLOOKUP(B50,'נתוני עזר'!$G$11:$M$11,'נתוני עזר'!$G$12:$M$15),,-1)*G50</f>
        <v>71400</v>
      </c>
      <c r="P50" s="12">
        <f>IF(D50=$W$7,S50,IF(OR(AND(B50=$W$14,D50=$W$13),AND(B50=$W$15,D50=$W$13)),T50,U50))</f>
        <v>46065</v>
      </c>
      <c r="S50" s="12">
        <f>DATE(YEAR(H50)+$X$10,$W$8,$X$8)</f>
        <v>46113</v>
      </c>
      <c r="T50" s="12">
        <f>DATE(YEAR(H50)+$W$16,MONTH(H50)+$W$18,$W$17)</f>
        <v>46630</v>
      </c>
      <c r="U50" s="12">
        <f>DATE(YEAR(H50),MONTH(H50)+$W$20,DAY(H50))</f>
        <v>46065</v>
      </c>
      <c r="Z50" t="str">
        <f>IF(OR(B50=$AE$15,B50=$AE$16),AA50,IF(B50=$AE$20,AC50,$AG$25))</f>
        <v>לא זכאי להטבה</v>
      </c>
      <c r="AA50" s="10" t="str">
        <f t="shared" si="0"/>
        <v>תלוש לארוחת בוקר זוגית</v>
      </c>
      <c r="AC50" s="11" t="str">
        <f t="shared" si="1"/>
        <v>טיסה לפריז</v>
      </c>
    </row>
    <row r="51" spans="1:29" x14ac:dyDescent="0.25">
      <c r="A51" s="1">
        <v>47</v>
      </c>
      <c r="B51" s="2" t="s">
        <v>22</v>
      </c>
      <c r="C51" s="4" t="s">
        <v>61</v>
      </c>
      <c r="D51" s="1">
        <v>3</v>
      </c>
      <c r="E51" s="1">
        <v>75</v>
      </c>
      <c r="F51" s="2" t="s">
        <v>11</v>
      </c>
      <c r="G51" s="16">
        <v>600000</v>
      </c>
      <c r="H51" s="3">
        <v>45879</v>
      </c>
      <c r="O51" s="17" cm="1">
        <f t="array" ref="O51">_xlfn.XLOOKUP(G51,'נתוני עזר'!$F$12:$F$15,_xlfn.XLOOKUP(B51,'נתוני עזר'!$G$11:$M$11,'נתוני עזר'!$G$12:$M$15),,-1)*G51</f>
        <v>36000</v>
      </c>
      <c r="P51" s="12">
        <f>IF(D51=$W$7,S51,IF(OR(AND(B51=$W$14,D51=$W$13),AND(B51=$W$15,D51=$W$13)),T51,U51))</f>
        <v>46063</v>
      </c>
      <c r="S51" s="12">
        <f>DATE(YEAR(H51)+$X$10,$W$8,$X$8)</f>
        <v>46113</v>
      </c>
      <c r="T51" s="12">
        <f>DATE(YEAR(H51)+$W$16,MONTH(H51)+$W$18,$W$17)</f>
        <v>46630</v>
      </c>
      <c r="U51" s="12">
        <f>DATE(YEAR(H51),MONTH(H51)+$W$20,DAY(H51))</f>
        <v>46063</v>
      </c>
      <c r="Z51" t="str">
        <f>IF(OR(B51=$AE$15,B51=$AE$16),AA51,IF(B51=$AE$20,AC51,$AG$25))</f>
        <v>לא זכאי להטבה</v>
      </c>
      <c r="AA51" s="10" t="str">
        <f t="shared" si="0"/>
        <v>תלוש לארוחת בוקר זוגית</v>
      </c>
      <c r="AC51" s="11" t="str">
        <f t="shared" si="1"/>
        <v>טיסה ללונדון</v>
      </c>
    </row>
    <row r="52" spans="1:29" x14ac:dyDescent="0.25">
      <c r="A52" s="1">
        <v>48</v>
      </c>
      <c r="B52" s="2" t="s">
        <v>15</v>
      </c>
      <c r="C52" s="4" t="s">
        <v>62</v>
      </c>
      <c r="D52" s="1">
        <v>2.5</v>
      </c>
      <c r="E52" s="1">
        <v>48</v>
      </c>
      <c r="F52" s="2" t="s">
        <v>11</v>
      </c>
      <c r="G52" s="16">
        <v>1158000</v>
      </c>
      <c r="H52" s="3">
        <v>45959</v>
      </c>
      <c r="O52" s="17" cm="1">
        <f t="array" ref="O52">_xlfn.XLOOKUP(G52,'נתוני עזר'!$F$12:$F$15,_xlfn.XLOOKUP(B52,'נתוני עזר'!$G$11:$M$11,'נתוני עזר'!$G$12:$M$15),,-1)*G52</f>
        <v>69480</v>
      </c>
      <c r="P52" s="12">
        <f>IF(D52=$W$7,S52,IF(OR(AND(B52=$W$14,D52=$W$13),AND(B52=$W$15,D52=$W$13)),T52,U52))</f>
        <v>46141</v>
      </c>
      <c r="S52" s="12">
        <f>DATE(YEAR(H52)+$X$10,$W$8,$X$8)</f>
        <v>46113</v>
      </c>
      <c r="T52" s="12">
        <f>DATE(YEAR(H52)+$W$16,MONTH(H52)+$W$18,$W$17)</f>
        <v>46691</v>
      </c>
      <c r="U52" s="12">
        <f>DATE(YEAR(H52),MONTH(H52)+$W$20,DAY(H52))</f>
        <v>46141</v>
      </c>
      <c r="Z52" t="str">
        <f>IF(OR(B52=$AE$15,B52=$AE$16),AA52,IF(B52=$AE$20,AC52,$AG$25))</f>
        <v>טיסה לקפריסין</v>
      </c>
      <c r="AA52" s="10" t="str">
        <f t="shared" si="0"/>
        <v>תלוש לארוחת בוקר זוגית</v>
      </c>
      <c r="AC52" s="11" t="str">
        <f t="shared" si="1"/>
        <v>טיסה לקפריסין</v>
      </c>
    </row>
    <row r="53" spans="1:29" x14ac:dyDescent="0.25">
      <c r="A53" s="1">
        <v>49</v>
      </c>
      <c r="B53" s="2" t="s">
        <v>17</v>
      </c>
      <c r="C53" s="4" t="s">
        <v>63</v>
      </c>
      <c r="D53" s="1">
        <v>4</v>
      </c>
      <c r="E53" s="1">
        <v>135</v>
      </c>
      <c r="F53" s="2" t="s">
        <v>11</v>
      </c>
      <c r="G53" s="16">
        <v>852000</v>
      </c>
      <c r="H53" s="3">
        <v>45845</v>
      </c>
      <c r="O53" s="17" cm="1">
        <f t="array" ref="O53">_xlfn.XLOOKUP(G53,'נתוני עזר'!$F$12:$F$15,_xlfn.XLOOKUP(B53,'נתוני עזר'!$G$11:$M$11,'נתוני עזר'!$G$12:$M$15),,-1)*G53</f>
        <v>42600</v>
      </c>
      <c r="P53" s="12">
        <f>IF(D53=$W$7,S53,IF(OR(AND(B53=$W$14,D53=$W$13),AND(B53=$W$15,D53=$W$13)),T53,U53))</f>
        <v>46029</v>
      </c>
      <c r="S53" s="12">
        <f>DATE(YEAR(H53)+$X$10,$W$8,$X$8)</f>
        <v>46113</v>
      </c>
      <c r="T53" s="12">
        <f>DATE(YEAR(H53)+$W$16,MONTH(H53)+$W$18,$W$17)</f>
        <v>46599</v>
      </c>
      <c r="U53" s="12">
        <f>DATE(YEAR(H53),MONTH(H53)+$W$20,DAY(H53))</f>
        <v>46029</v>
      </c>
      <c r="Z53" t="str">
        <f>IF(OR(B53=$AE$15,B53=$AE$16),AA53,IF(B53=$AE$20,AC53,$AG$25))</f>
        <v>לא זכאי להטבה</v>
      </c>
      <c r="AA53" s="10" t="str">
        <f t="shared" si="0"/>
        <v>תלוש לארוחת בוקר זוגית</v>
      </c>
      <c r="AC53" s="11" t="str">
        <f t="shared" si="1"/>
        <v>טיסה ללונדון</v>
      </c>
    </row>
    <row r="54" spans="1:29" x14ac:dyDescent="0.25">
      <c r="A54" s="1">
        <v>50</v>
      </c>
      <c r="B54" s="2" t="s">
        <v>6</v>
      </c>
      <c r="C54" s="4" t="s">
        <v>64</v>
      </c>
      <c r="D54" s="1">
        <v>1.5</v>
      </c>
      <c r="E54" s="1">
        <v>38</v>
      </c>
      <c r="F54" s="2" t="s">
        <v>11</v>
      </c>
      <c r="G54" s="16">
        <v>1230000</v>
      </c>
      <c r="H54" s="3">
        <v>45879</v>
      </c>
      <c r="O54" s="17" cm="1">
        <f t="array" ref="O54">_xlfn.XLOOKUP(G54,'נתוני עזר'!$F$12:$F$15,_xlfn.XLOOKUP(B54,'נתוני עזר'!$G$11:$M$11,'נתוני עזר'!$G$12:$M$15),,-1)*G54</f>
        <v>110700</v>
      </c>
      <c r="P54" s="12">
        <f>IF(D54=$W$7,S54,IF(OR(AND(B54=$W$14,D54=$W$13),AND(B54=$W$15,D54=$W$13)),T54,U54))</f>
        <v>46063</v>
      </c>
      <c r="S54" s="12">
        <f>DATE(YEAR(H54)+$X$10,$W$8,$X$8)</f>
        <v>46113</v>
      </c>
      <c r="T54" s="12">
        <f>DATE(YEAR(H54)+$W$16,MONTH(H54)+$W$18,$W$17)</f>
        <v>46630</v>
      </c>
      <c r="U54" s="12">
        <f>DATE(YEAR(H54),MONTH(H54)+$W$20,DAY(H54))</f>
        <v>46063</v>
      </c>
      <c r="Z54" t="str">
        <f>IF(OR(B54=$AE$15,B54=$AE$16),AA54,IF(B54=$AE$20,AC54,$AG$25))</f>
        <v>הופעה בזאפה</v>
      </c>
      <c r="AA54" s="10" t="str">
        <f t="shared" si="0"/>
        <v>הופעה בזאפה</v>
      </c>
      <c r="AC54" s="11" t="str">
        <f t="shared" si="1"/>
        <v>טיסה לקפריסין</v>
      </c>
    </row>
    <row r="55" spans="1:29" x14ac:dyDescent="0.25">
      <c r="A55" s="1">
        <v>51</v>
      </c>
      <c r="B55" s="2" t="s">
        <v>6</v>
      </c>
      <c r="C55" s="4" t="s">
        <v>65</v>
      </c>
      <c r="D55" s="1">
        <v>3</v>
      </c>
      <c r="E55" s="1">
        <v>68</v>
      </c>
      <c r="F55" s="2" t="s">
        <v>11</v>
      </c>
      <c r="G55" s="16">
        <v>414000</v>
      </c>
      <c r="H55" s="3">
        <v>45763</v>
      </c>
      <c r="O55" s="17" cm="1">
        <f t="array" ref="O55">_xlfn.XLOOKUP(G55,'נתוני עזר'!$F$12:$F$15,_xlfn.XLOOKUP(B55,'נתוני עזר'!$G$11:$M$11,'נתוני עזר'!$G$12:$M$15),,-1)*G55</f>
        <v>8280</v>
      </c>
      <c r="P55" s="12">
        <f>IF(D55=$W$7,S55,IF(OR(AND(B55=$W$14,D55=$W$13),AND(B55=$W$15,D55=$W$13)),T55,U55))</f>
        <v>45946</v>
      </c>
      <c r="S55" s="12">
        <f>DATE(YEAR(H55)+$X$10,$W$8,$X$8)</f>
        <v>46113</v>
      </c>
      <c r="T55" s="12">
        <f>DATE(YEAR(H55)+$W$16,MONTH(H55)+$W$18,$W$17)</f>
        <v>46507</v>
      </c>
      <c r="U55" s="12">
        <f>DATE(YEAR(H55),MONTH(H55)+$W$20,DAY(H55))</f>
        <v>45946</v>
      </c>
      <c r="Z55" t="str">
        <f>IF(OR(B55=$AE$15,B55=$AE$16),AA55,IF(B55=$AE$20,AC55,$AG$25))</f>
        <v>תלוש לארוחת בוקר זוגית</v>
      </c>
      <c r="AA55" s="10" t="str">
        <f t="shared" si="0"/>
        <v>תלוש לארוחת בוקר זוגית</v>
      </c>
      <c r="AC55" s="11" t="str">
        <f t="shared" si="1"/>
        <v>טיסה ללונדון</v>
      </c>
    </row>
    <row r="56" spans="1:29" x14ac:dyDescent="0.25">
      <c r="A56" s="1">
        <v>52</v>
      </c>
      <c r="B56" s="2" t="s">
        <v>20</v>
      </c>
      <c r="C56" s="4" t="s">
        <v>66</v>
      </c>
      <c r="D56" s="1">
        <v>8</v>
      </c>
      <c r="E56" s="1">
        <v>210</v>
      </c>
      <c r="F56" s="2" t="s">
        <v>11</v>
      </c>
      <c r="G56" s="16">
        <v>2786000</v>
      </c>
      <c r="H56" s="3">
        <v>45674</v>
      </c>
      <c r="O56" s="17" cm="1">
        <f t="array" ref="O56">_xlfn.XLOOKUP(G56,'נתוני עזר'!$F$12:$F$15,_xlfn.XLOOKUP(B56,'נתוני עזר'!$G$11:$M$11,'נתוני עזר'!$G$12:$M$15),,-1)*G56</f>
        <v>111440</v>
      </c>
      <c r="P56" s="12">
        <f>IF(D56=$W$7,S56,IF(OR(AND(B56=$W$14,D56=$W$13),AND(B56=$W$15,D56=$W$13)),T56,U56))</f>
        <v>45855</v>
      </c>
      <c r="S56" s="12">
        <f>DATE(YEAR(H56)+$X$10,$W$8,$X$8)</f>
        <v>46113</v>
      </c>
      <c r="T56" s="12">
        <f>DATE(YEAR(H56)+$W$16,MONTH(H56)+$W$18,$W$17)</f>
        <v>46418</v>
      </c>
      <c r="U56" s="12">
        <f>DATE(YEAR(H56),MONTH(H56)+$W$20,DAY(H56))</f>
        <v>45855</v>
      </c>
      <c r="Z56" t="str">
        <f>IF(OR(B56=$AE$15,B56=$AE$16),AA56,IF(B56=$AE$20,AC56,$AG$25))</f>
        <v>לא זכאי להטבה</v>
      </c>
      <c r="AA56" s="10" t="str">
        <f t="shared" si="0"/>
        <v>תלוש לארוחת בוקר זוגית</v>
      </c>
      <c r="AC56" s="11" t="str">
        <f t="shared" si="1"/>
        <v>טיסה לפריז</v>
      </c>
    </row>
    <row r="57" spans="1:29" x14ac:dyDescent="0.25">
      <c r="A57" s="1">
        <v>53</v>
      </c>
      <c r="B57" s="2" t="s">
        <v>15</v>
      </c>
      <c r="C57" s="4" t="s">
        <v>67</v>
      </c>
      <c r="D57" s="1">
        <v>3</v>
      </c>
      <c r="E57" s="1">
        <v>74</v>
      </c>
      <c r="F57" s="2" t="s">
        <v>11</v>
      </c>
      <c r="G57" s="16">
        <v>378000</v>
      </c>
      <c r="H57" s="3">
        <v>45770</v>
      </c>
      <c r="O57" s="17" cm="1">
        <f t="array" ref="O57">_xlfn.XLOOKUP(G57,'נתוני עזר'!$F$12:$F$15,_xlfn.XLOOKUP(B57,'נתוני עזר'!$G$11:$M$11,'נתוני עזר'!$G$12:$M$15),,-1)*G57</f>
        <v>3780</v>
      </c>
      <c r="P57" s="12">
        <f>IF(D57=$W$7,S57,IF(OR(AND(B57=$W$14,D57=$W$13),AND(B57=$W$15,D57=$W$13)),T57,U57))</f>
        <v>45953</v>
      </c>
      <c r="S57" s="12">
        <f>DATE(YEAR(H57)+$X$10,$W$8,$X$8)</f>
        <v>46113</v>
      </c>
      <c r="T57" s="12">
        <f>DATE(YEAR(H57)+$W$16,MONTH(H57)+$W$18,$W$17)</f>
        <v>46507</v>
      </c>
      <c r="U57" s="12">
        <f>DATE(YEAR(H57),MONTH(H57)+$W$20,DAY(H57))</f>
        <v>45953</v>
      </c>
      <c r="Z57" t="str">
        <f>IF(OR(B57=$AE$15,B57=$AE$16),AA57,IF(B57=$AE$20,AC57,$AG$25))</f>
        <v>טיסה ללונדון</v>
      </c>
      <c r="AA57" s="10" t="str">
        <f t="shared" si="0"/>
        <v>תלוש לארוחת בוקר זוגית</v>
      </c>
      <c r="AC57" s="11" t="str">
        <f t="shared" si="1"/>
        <v>טיסה ללונדון</v>
      </c>
    </row>
    <row r="58" spans="1:29" x14ac:dyDescent="0.25">
      <c r="A58" s="1">
        <v>54</v>
      </c>
      <c r="B58" s="2" t="s">
        <v>22</v>
      </c>
      <c r="C58" s="4" t="s">
        <v>68</v>
      </c>
      <c r="D58" s="1">
        <v>3</v>
      </c>
      <c r="E58" s="1">
        <v>65</v>
      </c>
      <c r="F58" s="2" t="s">
        <v>11</v>
      </c>
      <c r="G58" s="16">
        <v>394123</v>
      </c>
      <c r="H58" s="3">
        <v>45700</v>
      </c>
      <c r="O58" s="17" cm="1">
        <f t="array" ref="O58">_xlfn.XLOOKUP(G58,'נתוני עזר'!$F$12:$F$15,_xlfn.XLOOKUP(B58,'נתוני עזר'!$G$11:$M$11,'נתוני עזר'!$G$12:$M$15),,-1)*G58</f>
        <v>11823.689999999999</v>
      </c>
      <c r="P58" s="12">
        <f>IF(D58=$W$7,S58,IF(OR(AND(B58=$W$14,D58=$W$13),AND(B58=$W$15,D58=$W$13)),T58,U58))</f>
        <v>45881</v>
      </c>
      <c r="S58" s="12">
        <f>DATE(YEAR(H58)+$X$10,$W$8,$X$8)</f>
        <v>46113</v>
      </c>
      <c r="T58" s="12">
        <f>DATE(YEAR(H58)+$W$16,MONTH(H58)+$W$18,$W$17)</f>
        <v>46446</v>
      </c>
      <c r="U58" s="12">
        <f>DATE(YEAR(H58),MONTH(H58)+$W$20,DAY(H58))</f>
        <v>45881</v>
      </c>
      <c r="Z58" t="str">
        <f>IF(OR(B58=$AE$15,B58=$AE$16),AA58,IF(B58=$AE$20,AC58,$AG$25))</f>
        <v>לא זכאי להטבה</v>
      </c>
      <c r="AA58" s="10" t="str">
        <f t="shared" si="0"/>
        <v>תלוש לארוחת בוקר זוגית</v>
      </c>
      <c r="AC58" s="11" t="str">
        <f t="shared" si="1"/>
        <v>טיסה ללונדון</v>
      </c>
    </row>
    <row r="59" spans="1:29" x14ac:dyDescent="0.25">
      <c r="A59" s="1">
        <v>55</v>
      </c>
      <c r="B59" s="2" t="s">
        <v>20</v>
      </c>
      <c r="C59" s="4" t="s">
        <v>55</v>
      </c>
      <c r="D59" s="1">
        <v>4.5</v>
      </c>
      <c r="E59" s="1">
        <v>124</v>
      </c>
      <c r="F59" s="2" t="s">
        <v>11</v>
      </c>
      <c r="G59" s="16">
        <v>888000</v>
      </c>
      <c r="H59" s="3">
        <v>45780</v>
      </c>
      <c r="O59" s="17" cm="1">
        <f t="array" ref="O59">_xlfn.XLOOKUP(G59,'נתוני עזר'!$F$12:$F$15,_xlfn.XLOOKUP(B59,'נתוני עזר'!$G$11:$M$11,'נתוני עזר'!$G$12:$M$15),,-1)*G59</f>
        <v>53280</v>
      </c>
      <c r="P59" s="12">
        <f>IF(D59=$W$7,S59,IF(OR(AND(B59=$W$14,D59=$W$13),AND(B59=$W$15,D59=$W$13)),T59,U59))</f>
        <v>45964</v>
      </c>
      <c r="S59" s="12">
        <f>DATE(YEAR(H59)+$X$10,$W$8,$X$8)</f>
        <v>46113</v>
      </c>
      <c r="T59" s="12">
        <f>DATE(YEAR(H59)+$W$16,MONTH(H59)+$W$18,$W$17)</f>
        <v>46538</v>
      </c>
      <c r="U59" s="12">
        <f>DATE(YEAR(H59),MONTH(H59)+$W$20,DAY(H59))</f>
        <v>45964</v>
      </c>
      <c r="Z59" t="str">
        <f>IF(OR(B59=$AE$15,B59=$AE$16),AA59,IF(B59=$AE$20,AC59,$AG$25))</f>
        <v>לא זכאי להטבה</v>
      </c>
      <c r="AA59" s="10" t="str">
        <f t="shared" si="0"/>
        <v>תלוש לארוחת בוקר זוגית</v>
      </c>
      <c r="AC59" s="11" t="str">
        <f t="shared" si="1"/>
        <v>טיסה ללונדון</v>
      </c>
    </row>
    <row r="60" spans="1:29" x14ac:dyDescent="0.25">
      <c r="A60" s="1">
        <v>56</v>
      </c>
      <c r="B60" s="2" t="s">
        <v>15</v>
      </c>
      <c r="C60" s="4" t="s">
        <v>69</v>
      </c>
      <c r="D60" s="1">
        <v>3</v>
      </c>
      <c r="E60" s="1">
        <v>72</v>
      </c>
      <c r="F60" s="1" t="s">
        <v>8</v>
      </c>
      <c r="G60" s="16">
        <v>336000</v>
      </c>
      <c r="H60" s="3">
        <v>45816</v>
      </c>
      <c r="O60" s="17" cm="1">
        <f t="array" ref="O60">_xlfn.XLOOKUP(G60,'נתוני עזר'!$F$12:$F$15,_xlfn.XLOOKUP(B60,'נתוני עזר'!$G$11:$M$11,'נתוני עזר'!$G$12:$M$15),,-1)*G60</f>
        <v>3360</v>
      </c>
      <c r="P60" s="12">
        <f>IF(D60=$W$7,S60,IF(OR(AND(B60=$W$14,D60=$W$13),AND(B60=$W$15,D60=$W$13)),T60,U60))</f>
        <v>45999</v>
      </c>
      <c r="S60" s="12">
        <f>DATE(YEAR(H60)+$X$10,$W$8,$X$8)</f>
        <v>46113</v>
      </c>
      <c r="T60" s="12">
        <f>DATE(YEAR(H60)+$W$16,MONTH(H60)+$W$18,$W$17)</f>
        <v>46568</v>
      </c>
      <c r="U60" s="12">
        <f>DATE(YEAR(H60),MONTH(H60)+$W$20,DAY(H60))</f>
        <v>45999</v>
      </c>
      <c r="Z60" t="str">
        <f>IF(OR(B60=$AE$15,B60=$AE$16),AA60,IF(B60=$AE$20,AC60,$AG$25))</f>
        <v>טיסה ללונדון</v>
      </c>
      <c r="AA60" s="10" t="str">
        <f t="shared" si="0"/>
        <v>תלוש לארוחת בוקר זוגית</v>
      </c>
      <c r="AC60" s="11" t="str">
        <f t="shared" si="1"/>
        <v>טיסה ללונדון</v>
      </c>
    </row>
    <row r="61" spans="1:29" x14ac:dyDescent="0.25">
      <c r="A61" s="1">
        <v>57</v>
      </c>
      <c r="B61" s="2" t="s">
        <v>17</v>
      </c>
      <c r="C61" s="4" t="s">
        <v>70</v>
      </c>
      <c r="D61" s="1">
        <v>2</v>
      </c>
      <c r="E61" s="1">
        <v>50</v>
      </c>
      <c r="F61" s="2" t="s">
        <v>11</v>
      </c>
      <c r="G61" s="16">
        <v>768000</v>
      </c>
      <c r="H61" s="3">
        <v>45942</v>
      </c>
      <c r="O61" s="17" cm="1">
        <f t="array" ref="O61">_xlfn.XLOOKUP(G61,'נתוני עזר'!$F$12:$F$15,_xlfn.XLOOKUP(B61,'נתוני עזר'!$G$11:$M$11,'נתוני עזר'!$G$12:$M$15),,-1)*G61</f>
        <v>38400</v>
      </c>
      <c r="P61" s="12">
        <f>IF(D61=$W$7,S61,IF(OR(AND(B61=$W$14,D61=$W$13),AND(B61=$W$15,D61=$W$13)),T61,U61))</f>
        <v>46113</v>
      </c>
      <c r="S61" s="12">
        <f>DATE(YEAR(H61)+$X$10,$W$8,$X$8)</f>
        <v>46113</v>
      </c>
      <c r="T61" s="12">
        <f>DATE(YEAR(H61)+$W$16,MONTH(H61)+$W$18,$W$17)</f>
        <v>46691</v>
      </c>
      <c r="U61" s="12">
        <f>DATE(YEAR(H61),MONTH(H61)+$W$20,DAY(H61))</f>
        <v>46124</v>
      </c>
      <c r="Z61" t="str">
        <f>IF(OR(B61=$AE$15,B61=$AE$16),AA61,IF(B61=$AE$20,AC61,$AG$25))</f>
        <v>לא זכאי להטבה</v>
      </c>
      <c r="AA61" s="10" t="str">
        <f t="shared" si="0"/>
        <v>תלוש לארוחת בוקר זוגית</v>
      </c>
      <c r="AC61" s="11" t="str">
        <f t="shared" si="1"/>
        <v>טיסה לקפריסין</v>
      </c>
    </row>
    <row r="62" spans="1:29" x14ac:dyDescent="0.25">
      <c r="A62" s="1">
        <v>58</v>
      </c>
      <c r="B62" s="2" t="s">
        <v>20</v>
      </c>
      <c r="C62" s="4" t="s">
        <v>71</v>
      </c>
      <c r="D62" s="1">
        <v>3</v>
      </c>
      <c r="E62" s="1">
        <v>75</v>
      </c>
      <c r="F62" s="2" t="s">
        <v>11</v>
      </c>
      <c r="G62" s="16">
        <v>1308000</v>
      </c>
      <c r="H62" s="3">
        <v>45665</v>
      </c>
      <c r="O62" s="17" cm="1">
        <f t="array" ref="O62">_xlfn.XLOOKUP(G62,'נתוני עזר'!$F$12:$F$15,_xlfn.XLOOKUP(B62,'נתוני עזר'!$G$11:$M$11,'נתוני עזר'!$G$12:$M$15),,-1)*G62</f>
        <v>52320</v>
      </c>
      <c r="P62" s="12">
        <f>IF(D62=$W$7,S62,IF(OR(AND(B62=$W$14,D62=$W$13),AND(B62=$W$15,D62=$W$13)),T62,U62))</f>
        <v>45846</v>
      </c>
      <c r="S62" s="12">
        <f>DATE(YEAR(H62)+$X$10,$W$8,$X$8)</f>
        <v>46113</v>
      </c>
      <c r="T62" s="12">
        <f>DATE(YEAR(H62)+$W$16,MONTH(H62)+$W$18,$W$17)</f>
        <v>46418</v>
      </c>
      <c r="U62" s="12">
        <f>DATE(YEAR(H62),MONTH(H62)+$W$20,DAY(H62))</f>
        <v>45846</v>
      </c>
      <c r="Z62" t="str">
        <f>IF(OR(B62=$AE$15,B62=$AE$16),AA62,IF(B62=$AE$20,AC62,$AG$25))</f>
        <v>לא זכאי להטבה</v>
      </c>
      <c r="AA62" s="10" t="str">
        <f t="shared" si="0"/>
        <v>תלוש לארוחת בוקר זוגית</v>
      </c>
      <c r="AC62" s="11" t="str">
        <f t="shared" si="1"/>
        <v>טיסה ללונדון</v>
      </c>
    </row>
    <row r="63" spans="1:29" x14ac:dyDescent="0.25">
      <c r="A63" s="1">
        <v>59</v>
      </c>
      <c r="B63" s="2" t="s">
        <v>6</v>
      </c>
      <c r="C63" s="4" t="s">
        <v>72</v>
      </c>
      <c r="D63" s="1">
        <v>2</v>
      </c>
      <c r="E63" s="1">
        <v>38</v>
      </c>
      <c r="F63" s="2" t="s">
        <v>11</v>
      </c>
      <c r="G63" s="16">
        <v>369000</v>
      </c>
      <c r="H63" s="3">
        <v>45992</v>
      </c>
      <c r="O63" s="17" cm="1">
        <f t="array" ref="O63">_xlfn.XLOOKUP(G63,'נתוני עזר'!$F$12:$F$15,_xlfn.XLOOKUP(B63,'נתוני עזר'!$G$11:$M$11,'נתוני עזר'!$G$12:$M$15),,-1)*G63</f>
        <v>7380</v>
      </c>
      <c r="P63" s="12">
        <f>IF(D63=$W$7,S63,IF(OR(AND(B63=$W$14,D63=$W$13),AND(B63=$W$15,D63=$W$13)),T63,U63))</f>
        <v>46113</v>
      </c>
      <c r="S63" s="12">
        <f>DATE(YEAR(H63)+$X$10,$W$8,$X$8)</f>
        <v>46113</v>
      </c>
      <c r="T63" s="12">
        <f>DATE(YEAR(H63)+$W$16,MONTH(H63)+$W$18,$W$17)</f>
        <v>46752</v>
      </c>
      <c r="U63" s="12">
        <f>DATE(YEAR(H63),MONTH(H63)+$W$20,DAY(H63))</f>
        <v>46174</v>
      </c>
      <c r="Z63" t="str">
        <f>IF(OR(B63=$AE$15,B63=$AE$16),AA63,IF(B63=$AE$20,AC63,$AG$25))</f>
        <v>הופעה בזאפה</v>
      </c>
      <c r="AA63" s="10" t="str">
        <f t="shared" si="0"/>
        <v>הופעה בזאפה</v>
      </c>
      <c r="AC63" s="11" t="str">
        <f t="shared" si="1"/>
        <v>טיסה לקפריסין</v>
      </c>
    </row>
    <row r="64" spans="1:29" x14ac:dyDescent="0.25">
      <c r="A64" s="1">
        <v>60</v>
      </c>
      <c r="B64" s="2" t="s">
        <v>15</v>
      </c>
      <c r="C64" s="4" t="s">
        <v>73</v>
      </c>
      <c r="D64" s="1">
        <v>5</v>
      </c>
      <c r="E64" s="1">
        <v>150</v>
      </c>
      <c r="F64" s="2" t="s">
        <v>11</v>
      </c>
      <c r="G64" s="16">
        <v>648000</v>
      </c>
      <c r="H64" s="3">
        <v>45682</v>
      </c>
      <c r="O64" s="17" cm="1">
        <f t="array" ref="O64">_xlfn.XLOOKUP(G64,'נתוני עזר'!$F$12:$F$15,_xlfn.XLOOKUP(B64,'נתוני עזר'!$G$11:$M$11,'נתוני עזר'!$G$12:$M$15),,-1)*G64</f>
        <v>32400</v>
      </c>
      <c r="P64" s="12">
        <f>IF(D64=$W$7,S64,IF(OR(AND(B64=$W$14,D64=$W$13),AND(B64=$W$15,D64=$W$13)),T64,U64))</f>
        <v>45863</v>
      </c>
      <c r="S64" s="12">
        <f>DATE(YEAR(H64)+$X$10,$W$8,$X$8)</f>
        <v>46113</v>
      </c>
      <c r="T64" s="12">
        <f>DATE(YEAR(H64)+$W$16,MONTH(H64)+$W$18,$W$17)</f>
        <v>46418</v>
      </c>
      <c r="U64" s="12">
        <f>DATE(YEAR(H64),MONTH(H64)+$W$20,DAY(H64))</f>
        <v>45863</v>
      </c>
      <c r="Z64" t="str">
        <f>IF(OR(B64=$AE$15,B64=$AE$16),AA64,IF(B64=$AE$20,AC64,$AG$25))</f>
        <v>טיסה לפריז</v>
      </c>
      <c r="AA64" s="10" t="str">
        <f t="shared" si="0"/>
        <v>תלוש לארוחת בוקר זוגית</v>
      </c>
      <c r="AC64" s="11" t="str">
        <f t="shared" si="1"/>
        <v>טיסה לפריז</v>
      </c>
    </row>
    <row r="65" spans="1:29" x14ac:dyDescent="0.25">
      <c r="A65" s="1">
        <v>61</v>
      </c>
      <c r="B65" s="2" t="s">
        <v>17</v>
      </c>
      <c r="C65" s="4" t="s">
        <v>74</v>
      </c>
      <c r="D65" s="1">
        <v>2</v>
      </c>
      <c r="E65" s="1">
        <v>40</v>
      </c>
      <c r="F65" s="2" t="s">
        <v>11</v>
      </c>
      <c r="G65" s="16">
        <v>400000</v>
      </c>
      <c r="H65" s="3">
        <v>45670</v>
      </c>
      <c r="O65" s="17" cm="1">
        <f t="array" ref="O65">_xlfn.XLOOKUP(G65,'נתוני עזר'!$F$12:$F$15,_xlfn.XLOOKUP(B65,'נתוני עזר'!$G$11:$M$11,'נתוני עזר'!$G$12:$M$15),,-1)*G65</f>
        <v>8000</v>
      </c>
      <c r="P65" s="12">
        <f>IF(D65=$W$7,S65,IF(OR(AND(B65=$W$14,D65=$W$13),AND(B65=$W$15,D65=$W$13)),T65,U65))</f>
        <v>46113</v>
      </c>
      <c r="S65" s="12">
        <f>DATE(YEAR(H65)+$X$10,$W$8,$X$8)</f>
        <v>46113</v>
      </c>
      <c r="T65" s="12">
        <f>DATE(YEAR(H65)+$W$16,MONTH(H65)+$W$18,$W$17)</f>
        <v>46418</v>
      </c>
      <c r="U65" s="12">
        <f>DATE(YEAR(H65),MONTH(H65)+$W$20,DAY(H65))</f>
        <v>45851</v>
      </c>
      <c r="Z65" t="str">
        <f>IF(OR(B65=$AE$15,B65=$AE$16),AA65,IF(B65=$AE$20,AC65,$AG$25))</f>
        <v>לא זכאי להטבה</v>
      </c>
      <c r="AA65" s="10" t="str">
        <f t="shared" si="0"/>
        <v>הופעה בזאפה</v>
      </c>
      <c r="AC65" s="11" t="str">
        <f t="shared" si="1"/>
        <v>טיסה לקפריסין</v>
      </c>
    </row>
    <row r="66" spans="1:29" x14ac:dyDescent="0.25">
      <c r="A66" s="1">
        <v>62</v>
      </c>
      <c r="B66" s="2" t="s">
        <v>6</v>
      </c>
      <c r="C66" s="4" t="s">
        <v>75</v>
      </c>
      <c r="D66" s="1">
        <v>4</v>
      </c>
      <c r="E66" s="1">
        <v>125</v>
      </c>
      <c r="F66" s="2" t="s">
        <v>11</v>
      </c>
      <c r="G66" s="16">
        <v>1164000</v>
      </c>
      <c r="H66" s="3">
        <v>45682</v>
      </c>
      <c r="O66" s="17" cm="1">
        <f t="array" ref="O66">_xlfn.XLOOKUP(G66,'נתוני עזר'!$F$12:$F$15,_xlfn.XLOOKUP(B66,'נתוני עזר'!$G$11:$M$11,'נתוני עזר'!$G$12:$M$15),,-1)*G66</f>
        <v>104760</v>
      </c>
      <c r="P66" s="12">
        <f>IF(D66=$W$7,S66,IF(OR(AND(B66=$W$14,D66=$W$13),AND(B66=$W$15,D66=$W$13)),T66,U66))</f>
        <v>45863</v>
      </c>
      <c r="S66" s="12">
        <f>DATE(YEAR(H66)+$X$10,$W$8,$X$8)</f>
        <v>46113</v>
      </c>
      <c r="T66" s="12">
        <f>DATE(YEAR(H66)+$W$16,MONTH(H66)+$W$18,$W$17)</f>
        <v>46418</v>
      </c>
      <c r="U66" s="12">
        <f>DATE(YEAR(H66),MONTH(H66)+$W$20,DAY(H66))</f>
        <v>45863</v>
      </c>
      <c r="Z66" t="str">
        <f>IF(OR(B66=$AE$15,B66=$AE$16),AA66,IF(B66=$AE$20,AC66,$AG$25))</f>
        <v>תלוש לארוחת בוקר זוגית</v>
      </c>
      <c r="AA66" s="10" t="str">
        <f t="shared" si="0"/>
        <v>תלוש לארוחת בוקר זוגית</v>
      </c>
      <c r="AC66" s="11" t="str">
        <f t="shared" si="1"/>
        <v>טיסה ללונדון</v>
      </c>
    </row>
    <row r="70" spans="1:29" x14ac:dyDescent="0.25">
      <c r="C70"/>
    </row>
    <row r="71" spans="1:29" x14ac:dyDescent="0.25">
      <c r="C71"/>
      <c r="J71" s="19" t="s">
        <v>114</v>
      </c>
    </row>
    <row r="72" spans="1:29" x14ac:dyDescent="0.25">
      <c r="C72"/>
    </row>
    <row r="73" spans="1:29" x14ac:dyDescent="0.25">
      <c r="C73"/>
      <c r="J73" s="2" t="s">
        <v>6</v>
      </c>
      <c r="K73">
        <f>COUNTIF($B$5:$B$66,J73)</f>
        <v>13</v>
      </c>
    </row>
    <row r="74" spans="1:29" x14ac:dyDescent="0.25">
      <c r="C74"/>
      <c r="J74" s="2" t="s">
        <v>9</v>
      </c>
      <c r="K74">
        <f>COUNTIF($B$5:$B$66,J74)</f>
        <v>5</v>
      </c>
    </row>
    <row r="75" spans="1:29" x14ac:dyDescent="0.25">
      <c r="C75"/>
      <c r="J75" s="2" t="s">
        <v>12</v>
      </c>
      <c r="K75">
        <f t="shared" ref="K75:K79" si="2">COUNTIF($B$5:$B$66,J75)</f>
        <v>7</v>
      </c>
    </row>
    <row r="76" spans="1:29" x14ac:dyDescent="0.25">
      <c r="C76"/>
      <c r="J76" s="2" t="s">
        <v>15</v>
      </c>
      <c r="K76">
        <f t="shared" si="2"/>
        <v>12</v>
      </c>
    </row>
    <row r="77" spans="1:29" x14ac:dyDescent="0.25">
      <c r="C77"/>
      <c r="J77" s="2" t="s">
        <v>17</v>
      </c>
      <c r="K77">
        <f t="shared" si="2"/>
        <v>10</v>
      </c>
    </row>
    <row r="78" spans="1:29" x14ac:dyDescent="0.25">
      <c r="C78"/>
      <c r="J78" s="2" t="s">
        <v>20</v>
      </c>
      <c r="K78">
        <f t="shared" si="2"/>
        <v>7</v>
      </c>
    </row>
    <row r="79" spans="1:29" x14ac:dyDescent="0.25">
      <c r="C79"/>
      <c r="J79" s="2" t="s">
        <v>22</v>
      </c>
      <c r="K79">
        <f t="shared" si="2"/>
        <v>8</v>
      </c>
    </row>
    <row r="80" spans="1:29" x14ac:dyDescent="0.25">
      <c r="C80"/>
    </row>
    <row r="81" spans="3:12" x14ac:dyDescent="0.25">
      <c r="C81"/>
    </row>
    <row r="82" spans="3:12" x14ac:dyDescent="0.25">
      <c r="C82"/>
      <c r="L82">
        <f>MAX(K73:K79)</f>
        <v>13</v>
      </c>
    </row>
    <row r="83" spans="3:12" x14ac:dyDescent="0.25">
      <c r="C83"/>
      <c r="L83" t="str">
        <f>_xlfn.XLOOKUP(L82,$K$73:$K$79,$J$73:$J$79)</f>
        <v>ראשון לציון</v>
      </c>
    </row>
    <row r="84" spans="3:12" x14ac:dyDescent="0.25">
      <c r="C84"/>
      <c r="J84" t="s">
        <v>115</v>
      </c>
    </row>
    <row r="85" spans="3:12" x14ac:dyDescent="0.25">
      <c r="J85" t="s">
        <v>116</v>
      </c>
    </row>
  </sheetData>
  <mergeCells count="1">
    <mergeCell ref="A2:H2"/>
  </mergeCells>
  <phoneticPr fontId="10" type="noConversion"/>
  <conditionalFormatting sqref="Z5:Z66">
    <cfRule type="cellIs" dxfId="0" priority="1" operator="equal">
      <formula>$AG$25</formula>
    </cfRule>
  </conditionalFormatting>
  <pageMargins left="0.7" right="0.7" top="0.75" bottom="0.75" header="0.3" footer="0.3"/>
  <pageSetup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FFC25-EAEF-45EC-B0E5-920061040052}">
  <dimension ref="E8:M20"/>
  <sheetViews>
    <sheetView rightToLeft="1" zoomScaleNormal="100" workbookViewId="0">
      <selection activeCell="F11" sqref="F11:L15"/>
    </sheetView>
  </sheetViews>
  <sheetFormatPr defaultColWidth="9" defaultRowHeight="15" x14ac:dyDescent="0.25"/>
  <cols>
    <col min="1" max="1" width="16.59765625" style="6" customWidth="1"/>
    <col min="2" max="5" width="9" style="6"/>
    <col min="6" max="6" width="19" style="6" customWidth="1"/>
    <col min="7" max="7" width="11.19921875" style="6" customWidth="1"/>
    <col min="8" max="8" width="9" style="6"/>
    <col min="9" max="9" width="12" style="6" customWidth="1"/>
    <col min="10" max="10" width="13.5" style="6" customWidth="1"/>
    <col min="11" max="11" width="11.19921875" style="6" customWidth="1"/>
    <col min="12" max="12" width="9" style="6"/>
    <col min="13" max="13" width="11.5" style="6" customWidth="1"/>
    <col min="14" max="16384" width="9" style="6"/>
  </cols>
  <sheetData>
    <row r="8" spans="5:13" ht="15.6" x14ac:dyDescent="0.3">
      <c r="F8" s="9" t="s">
        <v>79</v>
      </c>
      <c r="G8" s="9"/>
      <c r="H8" s="9"/>
      <c r="I8" s="9"/>
      <c r="J8" s="9"/>
      <c r="K8" s="9"/>
      <c r="L8" s="9"/>
      <c r="M8" s="9"/>
    </row>
    <row r="9" spans="5:13" x14ac:dyDescent="0.25">
      <c r="E9" s="18"/>
    </row>
    <row r="10" spans="5:13" x14ac:dyDescent="0.25">
      <c r="E10" s="18"/>
      <c r="F10" s="18"/>
      <c r="G10" s="18"/>
    </row>
    <row r="11" spans="5:13" ht="15.6" x14ac:dyDescent="0.3">
      <c r="E11" s="18"/>
      <c r="F11" s="7" t="s">
        <v>78</v>
      </c>
      <c r="G11" s="15" t="s">
        <v>6</v>
      </c>
      <c r="H11" s="15" t="s">
        <v>9</v>
      </c>
      <c r="I11" s="15" t="s">
        <v>12</v>
      </c>
      <c r="J11" s="15" t="s">
        <v>15</v>
      </c>
      <c r="K11" s="15" t="s">
        <v>17</v>
      </c>
      <c r="L11" s="15" t="s">
        <v>20</v>
      </c>
      <c r="M11" s="15" t="s">
        <v>22</v>
      </c>
    </row>
    <row r="12" spans="5:13" x14ac:dyDescent="0.25">
      <c r="E12" s="18"/>
      <c r="F12" s="14">
        <v>200000</v>
      </c>
      <c r="G12" s="13">
        <v>0.02</v>
      </c>
      <c r="H12" s="13">
        <v>0.05</v>
      </c>
      <c r="I12" s="13">
        <v>0.02</v>
      </c>
      <c r="J12" s="13">
        <v>0.01</v>
      </c>
      <c r="K12" s="13">
        <v>0.02</v>
      </c>
      <c r="L12" s="13">
        <v>0.02</v>
      </c>
      <c r="M12" s="13">
        <v>0.03</v>
      </c>
    </row>
    <row r="13" spans="5:13" x14ac:dyDescent="0.25">
      <c r="E13" s="18"/>
      <c r="F13" s="14">
        <v>450000</v>
      </c>
      <c r="G13" s="13">
        <v>0.03</v>
      </c>
      <c r="H13" s="13">
        <v>0.06</v>
      </c>
      <c r="I13" s="13">
        <v>0.03</v>
      </c>
      <c r="J13" s="13">
        <v>0.02</v>
      </c>
      <c r="K13" s="13">
        <v>0.03</v>
      </c>
      <c r="L13" s="13">
        <v>0.05</v>
      </c>
      <c r="M13" s="13">
        <v>0.05</v>
      </c>
    </row>
    <row r="14" spans="5:13" x14ac:dyDescent="0.25">
      <c r="E14" s="18"/>
      <c r="F14" s="14">
        <v>600000</v>
      </c>
      <c r="G14" s="13">
        <v>0.05</v>
      </c>
      <c r="H14" s="13">
        <v>7.0000000000000007E-2</v>
      </c>
      <c r="I14" s="13">
        <v>0.03</v>
      </c>
      <c r="J14" s="13">
        <v>0.05</v>
      </c>
      <c r="K14" s="13">
        <v>0.05</v>
      </c>
      <c r="L14" s="13">
        <v>0.06</v>
      </c>
      <c r="M14" s="13">
        <v>0.06</v>
      </c>
    </row>
    <row r="15" spans="5:13" x14ac:dyDescent="0.25">
      <c r="E15" s="18"/>
      <c r="F15" s="14">
        <v>1000000</v>
      </c>
      <c r="G15" s="13">
        <v>0.09</v>
      </c>
      <c r="H15" s="13">
        <v>0.09</v>
      </c>
      <c r="I15" s="13">
        <v>0.06</v>
      </c>
      <c r="J15" s="13">
        <v>0.06</v>
      </c>
      <c r="K15" s="13">
        <v>7.0000000000000007E-2</v>
      </c>
      <c r="L15" s="13">
        <v>0.04</v>
      </c>
      <c r="M15" s="13">
        <v>7.0000000000000007E-2</v>
      </c>
    </row>
    <row r="16" spans="5:13" x14ac:dyDescent="0.25">
      <c r="E16" s="18"/>
    </row>
    <row r="17" spans="5:7" x14ac:dyDescent="0.25">
      <c r="E17" s="18"/>
    </row>
    <row r="20" spans="5:7" ht="15.6" x14ac:dyDescent="0.3">
      <c r="F20" s="7" t="s">
        <v>81</v>
      </c>
      <c r="G20" s="7">
        <v>3.6</v>
      </c>
    </row>
  </sheetData>
  <mergeCells count="1">
    <mergeCell ref="F8:M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עסקאות</vt:lpstr>
      <vt:lpstr>נתוני עזר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שירי יגאנה</dc:creator>
  <cp:lastModifiedBy>roy idan</cp:lastModifiedBy>
  <dcterms:created xsi:type="dcterms:W3CDTF">2017-01-28T16:17:04Z</dcterms:created>
  <dcterms:modified xsi:type="dcterms:W3CDTF">2026-06-17T14:58:02Z</dcterms:modified>
</cp:coreProperties>
</file>