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BEF9E24A-BB4C-4F59-BBEE-0E5DD37A46A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עסקאות" sheetId="1" r:id="rId1"/>
    <sheet name="עסקאות בכל עיר" sheetId="5" r:id="rId2"/>
    <sheet name="דוח מכירות ראשי" sheetId="6" r:id="rId3"/>
    <sheet name="נתוני עזר" sheetId="3" r:id="rId4"/>
  </sheets>
  <definedNames>
    <definedName name="_xlnm._FilterDatabase" localSheetId="0" hidden="1">עסקאות!$B$4:$B$66</definedName>
    <definedName name="_xlnm.Extract" localSheetId="2">'דוח מכירות ראשי'!$A$1:$D$1</definedName>
    <definedName name="sencount" hidden="1">2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C40" i="1" l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5" i="1"/>
  <c r="Z62" i="1"/>
  <c r="Z63" i="1"/>
  <c r="Z64" i="1"/>
  <c r="Z65" i="1"/>
  <c r="Z66" i="1"/>
  <c r="V67" i="1"/>
  <c r="Z61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5" i="1"/>
  <c r="AC32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5" i="1"/>
  <c r="AC30" i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 s="1"/>
  <c r="K63" i="1" a="1"/>
  <c r="K63" i="1" s="1"/>
  <c r="K64" i="1" a="1"/>
  <c r="K64" i="1" s="1"/>
  <c r="K65" i="1" a="1"/>
  <c r="K65" i="1" s="1"/>
  <c r="K66" i="1" a="1"/>
  <c r="K66" i="1" s="1"/>
  <c r="K5" i="1" a="1"/>
  <c r="K5" i="1" s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0" i="1"/>
  <c r="T61" i="1"/>
  <c r="T62" i="1"/>
  <c r="T63" i="1"/>
  <c r="T64" i="1"/>
  <c r="T65" i="1"/>
  <c r="T66" i="1"/>
  <c r="T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5" i="1"/>
  <c r="X18" i="1"/>
  <c r="U8" i="1" s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5" i="1"/>
  <c r="Q71" i="1" l="1"/>
  <c r="AC50" i="1"/>
  <c r="J8" i="1"/>
  <c r="AC62" i="1"/>
  <c r="U21" i="1"/>
  <c r="J21" i="1" s="1"/>
  <c r="X19" i="1"/>
  <c r="U35" i="1"/>
  <c r="J35" i="1" s="1"/>
  <c r="U17" i="1"/>
  <c r="J17" i="1" s="1"/>
  <c r="U63" i="1"/>
  <c r="J63" i="1" s="1"/>
  <c r="U60" i="1"/>
  <c r="J60" i="1" s="1"/>
  <c r="U58" i="1"/>
  <c r="J58" i="1" s="1"/>
  <c r="U57" i="1"/>
  <c r="J57" i="1" s="1"/>
  <c r="U9" i="1"/>
  <c r="J9" i="1" s="1"/>
  <c r="U24" i="1" l="1"/>
  <c r="J24" i="1" s="1"/>
  <c r="U26" i="1"/>
  <c r="J26" i="1" s="1"/>
  <c r="U11" i="1"/>
  <c r="J11" i="1" s="1"/>
  <c r="U29" i="1"/>
  <c r="J29" i="1" s="1"/>
  <c r="U30" i="1"/>
  <c r="J30" i="1" s="1"/>
  <c r="U16" i="1"/>
  <c r="J16" i="1" s="1"/>
  <c r="U48" i="1"/>
  <c r="J48" i="1" s="1"/>
  <c r="X20" i="1"/>
  <c r="U65" i="1"/>
  <c r="J65" i="1" s="1"/>
  <c r="U5" i="1"/>
  <c r="J5" i="1" s="1"/>
  <c r="U20" i="1"/>
  <c r="J20" i="1" s="1"/>
  <c r="U55" i="1"/>
  <c r="J55" i="1" s="1"/>
  <c r="U41" i="1" l="1"/>
  <c r="J41" i="1" s="1"/>
  <c r="U13" i="1"/>
  <c r="J13" i="1" s="1"/>
  <c r="U46" i="1"/>
  <c r="J46" i="1" s="1"/>
  <c r="U15" i="1"/>
  <c r="J15" i="1" s="1"/>
  <c r="U64" i="1"/>
  <c r="J64" i="1" s="1"/>
  <c r="U49" i="1"/>
  <c r="J49" i="1" s="1"/>
  <c r="X21" i="1"/>
  <c r="U18" i="1"/>
  <c r="J18" i="1" s="1"/>
  <c r="U51" i="1"/>
  <c r="J51" i="1" s="1"/>
  <c r="U36" i="1"/>
  <c r="J36" i="1" s="1"/>
  <c r="U42" i="1" l="1"/>
  <c r="J42" i="1" s="1"/>
  <c r="U27" i="1"/>
  <c r="J27" i="1" s="1"/>
  <c r="U12" i="1"/>
  <c r="J12" i="1" s="1"/>
  <c r="U45" i="1"/>
  <c r="J45" i="1" s="1"/>
  <c r="U61" i="1"/>
  <c r="J61" i="1" s="1"/>
  <c r="X22" i="1"/>
  <c r="U39" i="1"/>
  <c r="J39" i="1" s="1"/>
  <c r="X23" i="1" l="1"/>
  <c r="U59" i="1"/>
  <c r="J59" i="1" s="1"/>
  <c r="U53" i="1"/>
  <c r="J53" i="1" s="1"/>
  <c r="U22" i="1"/>
  <c r="J22" i="1" s="1"/>
  <c r="U23" i="1"/>
  <c r="J23" i="1" s="1"/>
  <c r="U40" i="1" l="1"/>
  <c r="J40" i="1" s="1"/>
  <c r="U56" i="1"/>
  <c r="J56" i="1" s="1"/>
  <c r="U25" i="1"/>
  <c r="J25" i="1" s="1"/>
  <c r="U10" i="1"/>
  <c r="J10" i="1" s="1"/>
  <c r="U43" i="1"/>
  <c r="J43" i="1" s="1"/>
  <c r="U28" i="1"/>
  <c r="J28" i="1" s="1"/>
  <c r="U44" i="1"/>
  <c r="J44" i="1" s="1"/>
  <c r="U37" i="1"/>
  <c r="J37" i="1" s="1"/>
  <c r="U14" i="1"/>
  <c r="J14" i="1" s="1"/>
  <c r="U62" i="1"/>
  <c r="J62" i="1" s="1"/>
  <c r="U31" i="1"/>
  <c r="J31" i="1" s="1"/>
  <c r="U47" i="1"/>
  <c r="J47" i="1" s="1"/>
  <c r="U32" i="1"/>
  <c r="J32" i="1" s="1"/>
  <c r="U33" i="1"/>
  <c r="J33" i="1" s="1"/>
  <c r="U34" i="1"/>
  <c r="J34" i="1" s="1"/>
  <c r="U50" i="1"/>
  <c r="J50" i="1" s="1"/>
  <c r="U66" i="1"/>
  <c r="J66" i="1" s="1"/>
  <c r="U19" i="1"/>
  <c r="J19" i="1" s="1"/>
  <c r="U52" i="1"/>
  <c r="J52" i="1" s="1"/>
  <c r="U6" i="1"/>
  <c r="J6" i="1" s="1"/>
  <c r="U38" i="1"/>
  <c r="J38" i="1" s="1"/>
  <c r="U54" i="1"/>
  <c r="J54" i="1" s="1"/>
  <c r="U7" i="1"/>
  <c r="J7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<sst xmlns="http://schemas.openxmlformats.org/spreadsheetml/2006/main" count="343" uniqueCount="130">
  <si>
    <t>מספר עסקה</t>
  </si>
  <si>
    <t>עיר</t>
  </si>
  <si>
    <t>כתובת</t>
  </si>
  <si>
    <t>מספר חדרים</t>
  </si>
  <si>
    <t>שטח במ"ר</t>
  </si>
  <si>
    <t>מעלית</t>
  </si>
  <si>
    <t>ראשון לציון</t>
  </si>
  <si>
    <t xml:space="preserve">  אביב  8</t>
  </si>
  <si>
    <t>לא</t>
  </si>
  <si>
    <t>הוד השרון</t>
  </si>
  <si>
    <t>הזורע   4</t>
  </si>
  <si>
    <t>כן</t>
  </si>
  <si>
    <t>כפר סבא</t>
  </si>
  <si>
    <t xml:space="preserve">     איריס 9</t>
  </si>
  <si>
    <t xml:space="preserve"> המאלכה 42</t>
  </si>
  <si>
    <t>באר שבע</t>
  </si>
  <si>
    <t>הסנדר 5</t>
  </si>
  <si>
    <t>בת ים</t>
  </si>
  <si>
    <t xml:space="preserve"> גולני   5</t>
  </si>
  <si>
    <t>טשרניחובסקי  6</t>
  </si>
  <si>
    <t>נתניה</t>
  </si>
  <si>
    <t xml:space="preserve">    רדפת    7</t>
  </si>
  <si>
    <t>חולון</t>
  </si>
  <si>
    <t>החיל   1</t>
  </si>
  <si>
    <t xml:space="preserve">   גולומב   11</t>
  </si>
  <si>
    <t xml:space="preserve">  הגושים   2</t>
  </si>
  <si>
    <t xml:space="preserve">     משה דיין 9</t>
  </si>
  <si>
    <t>קציר   21</t>
  </si>
  <si>
    <t xml:space="preserve">   ביאליק 1</t>
  </si>
  <si>
    <t>סתיו   32</t>
  </si>
  <si>
    <t>משאבים  21</t>
  </si>
  <si>
    <t>הברוש   9</t>
  </si>
  <si>
    <t>התמר   4</t>
  </si>
  <si>
    <t xml:space="preserve">    קרן היסוד  18</t>
  </si>
  <si>
    <t xml:space="preserve">  יצחק רבין  19</t>
  </si>
  <si>
    <t>האלון 9</t>
  </si>
  <si>
    <t>הברוש 6</t>
  </si>
  <si>
    <t>ברנדס   6</t>
  </si>
  <si>
    <t xml:space="preserve">  בר   אילן   8</t>
  </si>
  <si>
    <t>טשרניחובסקי  16</t>
  </si>
  <si>
    <t xml:space="preserve">   הרצל  21</t>
  </si>
  <si>
    <t xml:space="preserve"> הבנים     32</t>
  </si>
  <si>
    <t>הרימון    9</t>
  </si>
  <si>
    <t>ירושלים       14</t>
  </si>
  <si>
    <t>חנקין  6</t>
  </si>
  <si>
    <t>אסירי ציון 13</t>
  </si>
  <si>
    <t>כלנית  19</t>
  </si>
  <si>
    <t xml:space="preserve">  יהודה הלוי   6</t>
  </si>
  <si>
    <t>בורוכוב    15</t>
  </si>
  <si>
    <t>נשר   14</t>
  </si>
  <si>
    <t xml:space="preserve">     איריס    11    </t>
  </si>
  <si>
    <t xml:space="preserve">  מכבי    24</t>
  </si>
  <si>
    <t xml:space="preserve">  תל   חי  17</t>
  </si>
  <si>
    <t>יצחק רבין    17</t>
  </si>
  <si>
    <t>שחף    28</t>
  </si>
  <si>
    <t>ששת  הימים 21</t>
  </si>
  <si>
    <t>בן גוריון  41</t>
  </si>
  <si>
    <t>יהודה  הלוי  18</t>
  </si>
  <si>
    <t xml:space="preserve"> גלילי     9</t>
  </si>
  <si>
    <t>הגפן  17</t>
  </si>
  <si>
    <t xml:space="preserve">  ספיר   6</t>
  </si>
  <si>
    <t>הגליל   17</t>
  </si>
  <si>
    <t>כצנלסון  22</t>
  </si>
  <si>
    <t>אחוזה    15</t>
  </si>
  <si>
    <t>הסנדלר     6</t>
  </si>
  <si>
    <t xml:space="preserve">    הדרים 3</t>
  </si>
  <si>
    <t xml:space="preserve"> צנחנים     14</t>
  </si>
  <si>
    <t>הלימון    18</t>
  </si>
  <si>
    <t>הפרחים   30</t>
  </si>
  <si>
    <t>משעול גיל   18</t>
  </si>
  <si>
    <t>צהלה   14</t>
  </si>
  <si>
    <t>סוקולוב     17</t>
  </si>
  <si>
    <t>משעול    גיל 1</t>
  </si>
  <si>
    <t>הגלעד   7</t>
  </si>
  <si>
    <t>חובבי ציון    24</t>
  </si>
  <si>
    <t>הכרמל   5</t>
  </si>
  <si>
    <t>תאריך העסקה</t>
  </si>
  <si>
    <t>מחיר מכירה בדולר</t>
  </si>
  <si>
    <t>מחיר נכס בדולרים/עיר</t>
  </si>
  <si>
    <t>עמלות מכירה</t>
  </si>
  <si>
    <t>רשימת עסקאות</t>
  </si>
  <si>
    <t xml:space="preserve">שער דולר </t>
  </si>
  <si>
    <t>דירוג עסקה</t>
  </si>
  <si>
    <t>גדולה</t>
  </si>
  <si>
    <t>בינונית</t>
  </si>
  <si>
    <t>קטנה</t>
  </si>
  <si>
    <t>נקודה1</t>
  </si>
  <si>
    <t>נקודה2</t>
  </si>
  <si>
    <t>מס רכישה</t>
  </si>
  <si>
    <t>מדרגת עסקה</t>
  </si>
  <si>
    <t>אחוז המס</t>
  </si>
  <si>
    <t>מס מצטבר</t>
  </si>
  <si>
    <t>איקס1</t>
  </si>
  <si>
    <t>איקס2</t>
  </si>
  <si>
    <t>איקס3</t>
  </si>
  <si>
    <t>עמלת סוכן נדל"ן</t>
  </si>
  <si>
    <t>סהכ מחיר מכירה בדולר</t>
  </si>
  <si>
    <t>&lt;=2</t>
  </si>
  <si>
    <t>&lt;70</t>
  </si>
  <si>
    <t>מס' עסקאות שעומדות בתנאים</t>
  </si>
  <si>
    <t>חודש עסקה</t>
  </si>
  <si>
    <t>מרץ</t>
  </si>
  <si>
    <t>מחיר עסקאת ממוצע</t>
  </si>
  <si>
    <t>&gt;960441</t>
  </si>
  <si>
    <t>מחיר מכירה מינימאלי</t>
  </si>
  <si>
    <t>&gt;62</t>
  </si>
  <si>
    <t>&gt;=אפריל</t>
  </si>
  <si>
    <t>&lt;=יוני</t>
  </si>
  <si>
    <t>שנת מכירה</t>
  </si>
  <si>
    <t>שם העיר</t>
  </si>
  <si>
    <t>תאריך מסירה</t>
  </si>
  <si>
    <t>נקודה 1</t>
  </si>
  <si>
    <t>נקודה3</t>
  </si>
  <si>
    <t>תוויות שורה</t>
  </si>
  <si>
    <t>(ריק)</t>
  </si>
  <si>
    <t>סכום כולל</t>
  </si>
  <si>
    <t>סכום של מחיר מכירה בדולר</t>
  </si>
  <si>
    <t>מחיר מכירה בשקלים</t>
  </si>
  <si>
    <t>מכירה ממוצעת בשקלים</t>
  </si>
  <si>
    <t>&gt;3457589</t>
  </si>
  <si>
    <t>הטבה</t>
  </si>
  <si>
    <t>הופעה בזאפה</t>
  </si>
  <si>
    <t>תלוש לארוחת בוקר זוגית</t>
  </si>
  <si>
    <t>טיסה לקפריסין</t>
  </si>
  <si>
    <t>טיסה ללונדון</t>
  </si>
  <si>
    <t>טיסה לפריז</t>
  </si>
  <si>
    <t>נקודה 3</t>
  </si>
  <si>
    <t>לא זכאי להטבה</t>
  </si>
  <si>
    <t>נקודה1- עמודת עזר</t>
  </si>
  <si>
    <t>נקודה2- עמודת עזר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</si>
</sst>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164" formatCode="_-* #,##0.00_-;\-* #,##0.00_-;_-* &quot;-&quot;??_-;_-@_-"/>
    <numFmt numFmtId="165" formatCode="_-* #,##0_-;\-* #,##0_-;_-* &quot;-&quot;??_-;_-@_-"/>
    <numFmt numFmtId="166" formatCode="_-[$$-409]* #,##0.00_ ;_-[$$-409]* \-#,##0.00\ ;_-[$$-409]* &quot;-&quot;??_ ;_-@_ "/>
    <numFmt numFmtId="167" formatCode="_-[$$-409]* #,##0_ ;_-[$$-409]* \-#,##0\ ;_-[$$-409]* &quot;-&quot;??_ ;_-@_ "/>
    <numFmt numFmtId="168" formatCode="[$$-409]#,##0.00"/>
    <numFmt numFmtId="169" formatCode="_ [$₪-40D]\ * #,##0.00_ ;_ [$₪-40D]\ * \-#,##0.00_ ;_ [$₪-40D]\ * &quot;-&quot;??_ ;_ @_ "/>
    <numFmt numFmtId="170" formatCode="_ [$₪-40D]\ * #,##0_ ;_ [$₪-40D]\ * \-#,##0_ ;_ [$₪-40D]\ * &quot;-&quot;??_ ;_ @_ "/>
  </numFmts>
  <fonts count="12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sz val="11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u/>
      <sz val="12"/>
      <color theme="1"/>
      <name val="Arial"/>
      <family val="2"/>
      <scheme val="minor"/>
    </font>
    <font>
      <b/>
      <u/>
      <sz val="12"/>
      <name val="Arial"/>
      <family val="2"/>
    </font>
    <font>
      <b/>
      <u/>
      <sz val="11"/>
      <color theme="1"/>
      <name val="Arial"/>
      <family val="2"/>
      <scheme val="minor"/>
    </font>
    <font>
      <sz val="11"/>
      <name val="Arial"/>
      <family val="2"/>
      <scheme val="minor"/>
    </font>
    <font>
      <b/>
      <sz val="1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2" fillId="0" borderId="0"/>
    <xf numFmtId="0" fontId="3" fillId="0" borderId="0"/>
    <xf numFmtId="0" fontId="1" fillId="0" borderId="0"/>
    <xf numFmtId="164" fontId="5" fillId="0" borderId="0" applyFont="0" applyFill="0" applyBorder="0" applyAlignment="0" applyProtection="0"/>
  </cellStyleXfs>
  <cellXfs count="50">
    <xf numFmtId="0" fontId="0" fillId="0" borderId="0" xfId="0"/>
    <xf numFmtId="0" fontId="2" fillId="0" borderId="0" xfId="1"/>
    <xf numFmtId="3" fontId="2" fillId="0" borderId="0" xfId="1" applyNumberFormat="1"/>
    <xf numFmtId="0" fontId="3" fillId="0" borderId="0" xfId="1" applyFont="1"/>
    <xf numFmtId="14" fontId="2" fillId="0" borderId="0" xfId="1" applyNumberFormat="1"/>
    <xf numFmtId="0" fontId="3" fillId="0" borderId="0" xfId="1" applyFont="1" applyAlignment="1">
      <alignment horizontal="right"/>
    </xf>
    <xf numFmtId="0" fontId="0" fillId="0" borderId="0" xfId="0" applyAlignment="1">
      <alignment horizontal="right"/>
    </xf>
    <xf numFmtId="0" fontId="6" fillId="0" borderId="0" xfId="0" applyFont="1"/>
    <xf numFmtId="9" fontId="6" fillId="0" borderId="0" xfId="0" applyNumberFormat="1" applyFont="1"/>
    <xf numFmtId="0" fontId="7" fillId="0" borderId="0" xfId="0" applyFont="1"/>
    <xf numFmtId="0" fontId="8" fillId="0" borderId="0" xfId="1" applyFont="1"/>
    <xf numFmtId="165" fontId="6" fillId="0" borderId="0" xfId="4" applyNumberFormat="1" applyFont="1"/>
    <xf numFmtId="0" fontId="4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right" vertical="center" wrapText="1"/>
    </xf>
    <xf numFmtId="3" fontId="4" fillId="2" borderId="1" xfId="1" applyNumberFormat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0" fillId="3" borderId="0" xfId="0" applyFill="1"/>
    <xf numFmtId="0" fontId="3" fillId="3" borderId="0" xfId="1" applyFont="1" applyFill="1"/>
    <xf numFmtId="0" fontId="2" fillId="3" borderId="0" xfId="1" applyFont="1" applyFill="1"/>
    <xf numFmtId="0" fontId="10" fillId="4" borderId="0" xfId="0" applyFont="1" applyFill="1"/>
    <xf numFmtId="9" fontId="10" fillId="4" borderId="0" xfId="0" applyNumberFormat="1" applyFont="1" applyFill="1"/>
    <xf numFmtId="166" fontId="0" fillId="0" borderId="0" xfId="0" applyNumberFormat="1"/>
    <xf numFmtId="0" fontId="2" fillId="3" borderId="0" xfId="1" applyFill="1"/>
    <xf numFmtId="167" fontId="0" fillId="3" borderId="0" xfId="0" applyNumberFormat="1" applyFill="1"/>
    <xf numFmtId="0" fontId="11" fillId="3" borderId="1" xfId="1" applyFont="1" applyFill="1" applyBorder="1" applyAlignment="1">
      <alignment horizontal="center" vertical="center" wrapText="1"/>
    </xf>
    <xf numFmtId="3" fontId="0" fillId="0" borderId="0" xfId="0" applyNumberFormat="1"/>
    <xf numFmtId="0" fontId="4" fillId="5" borderId="2" xfId="1" applyFont="1" applyFill="1" applyBorder="1" applyAlignment="1">
      <alignment horizontal="center" vertical="center" wrapText="1"/>
    </xf>
    <xf numFmtId="0" fontId="4" fillId="4" borderId="2" xfId="1" applyFont="1" applyFill="1" applyBorder="1" applyAlignment="1">
      <alignment horizontal="center" vertical="center" wrapText="1"/>
    </xf>
    <xf numFmtId="0" fontId="4" fillId="4" borderId="1" xfId="1" applyFont="1" applyFill="1" applyBorder="1" applyAlignment="1">
      <alignment horizontal="center" vertical="center" wrapText="1"/>
    </xf>
    <xf numFmtId="0" fontId="0" fillId="4" borderId="0" xfId="0" applyFill="1"/>
    <xf numFmtId="0" fontId="3" fillId="4" borderId="0" xfId="1" applyFont="1" applyFill="1"/>
    <xf numFmtId="166" fontId="0" fillId="4" borderId="0" xfId="0" applyNumberFormat="1" applyFill="1"/>
    <xf numFmtId="0" fontId="4" fillId="6" borderId="2" xfId="1" applyFont="1" applyFill="1" applyBorder="1" applyAlignment="1">
      <alignment horizontal="center" vertical="center" wrapText="1"/>
    </xf>
    <xf numFmtId="0" fontId="4" fillId="6" borderId="1" xfId="1" applyFont="1" applyFill="1" applyBorder="1" applyAlignment="1">
      <alignment horizontal="center" vertical="center" wrapText="1"/>
    </xf>
    <xf numFmtId="3" fontId="4" fillId="6" borderId="1" xfId="1" applyNumberFormat="1" applyFont="1" applyFill="1" applyBorder="1" applyAlignment="1">
      <alignment horizontal="center" vertical="center" wrapText="1"/>
    </xf>
    <xf numFmtId="0" fontId="0" fillId="6" borderId="0" xfId="0" applyFill="1"/>
    <xf numFmtId="0" fontId="3" fillId="6" borderId="0" xfId="1" applyFont="1" applyFill="1"/>
    <xf numFmtId="0" fontId="0" fillId="7" borderId="0" xfId="0" applyFill="1"/>
    <xf numFmtId="0" fontId="0" fillId="2" borderId="0" xfId="0" applyFill="1"/>
    <xf numFmtId="0" fontId="3" fillId="2" borderId="0" xfId="1" applyFont="1" applyFill="1"/>
    <xf numFmtId="0" fontId="10" fillId="2" borderId="0" xfId="0" applyFont="1" applyFill="1"/>
    <xf numFmtId="14" fontId="0" fillId="0" borderId="0" xfId="0" applyNumberFormat="1"/>
    <xf numFmtId="0" fontId="0" fillId="0" borderId="0" xfId="0" pivotButton="1"/>
    <xf numFmtId="168" fontId="0" fillId="0" borderId="0" xfId="0" applyNumberFormat="1"/>
    <xf numFmtId="169" fontId="0" fillId="0" borderId="0" xfId="0" applyNumberFormat="1"/>
    <xf numFmtId="170" fontId="0" fillId="0" borderId="0" xfId="0" applyNumberFormat="1"/>
    <xf numFmtId="0" fontId="0" fillId="8" borderId="0" xfId="0" applyFill="1"/>
    <xf numFmtId="0" fontId="3" fillId="8" borderId="0" xfId="1" applyFont="1" applyFill="1"/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</cellXfs>
  <cellStyles count="5">
    <cellStyle name="Comma" xfId="4" builtinId="3"/>
    <cellStyle name="Normal" xfId="0" builtinId="0"/>
    <cellStyle name="Normal 2" xfId="2" xr:uid="{00000000-0005-0000-0000-000001000000}"/>
    <cellStyle name="Normal 3" xfId="1" xr:uid="{00000000-0005-0000-0000-000002000000}"/>
    <cellStyle name="Normal 4" xfId="3" xr:uid="{00000000-0005-0000-0000-000003000000}"/>
  </cellStyles>
  <dxfs count="1">
    <dxf>
      <font>
        <color theme="5"/>
      </font>
      <fill>
        <patternFill>
          <bgColor rgb="FFFFFF00"/>
        </patternFill>
      </fill>
    </dxf>
  </dxfs>
  <tableStyles count="1" defaultTableStyle="TableStyleMedium9" defaultPivotStyle="PivotStyleLight16">
    <tableStyle name="Invisible" pivot="0" table="0" count="0" xr9:uid="{2F409DC0-9FB7-4457-A0FC-D5993DE5B38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e-I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[מבחן ירדן דור יישומי המחשב מועד א.xlsx]עסקאות בכל עיר!PivotTable1</c:name>
    <c:fmtId val="1"/>
  </c:pivotSource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he-IL"/>
              <a:t>הלוואי ואקבל מאה במבחן</a:t>
            </a:r>
          </a:p>
        </c:rich>
      </c:tx>
      <c:layout>
        <c:manualLayout>
          <c:xMode val="edge"/>
          <c:yMode val="edge"/>
          <c:x val="0.47514588801399815"/>
          <c:y val="0.1193496646252551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title>
    <c:autoTitleDeleted val="0"/>
    <c:pivotFmts>
      <c:pivotFmt>
        <c:idx val="0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4557742782152222"/>
              <c:y val="0.17252442403032955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1788604549431321"/>
              <c:y val="0.19738407699037624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5912839020122485"/>
              <c:y val="-7.2455161854768149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0.11970417760279971"/>
              <c:y val="-9.2430373286672501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5.1839457567804025E-2"/>
              <c:y val="-6.6967410323709536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4657808398950131"/>
              <c:y val="-0.11268919510061243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  <c:dLbl>
          <c:idx val="0"/>
          <c:layout>
            <c:manualLayout>
              <c:x val="-0.16546522309711287"/>
              <c:y val="4.9157553222513854E-2"/>
            </c:manualLayout>
          </c:layout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he-IL"/>
            </a:p>
          </c:txPr>
          <c:dLblPos val="bestFit"/>
          <c:showLegendKey val="0"/>
          <c:showVal val="1"/>
          <c:showCatName val="1"/>
          <c:showSerName val="0"/>
          <c:showPercent val="1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 w="19050">
            <a:solidFill>
              <a:schemeClr val="lt1"/>
            </a:solidFill>
          </a:ln>
          <a:effectLst/>
        </c:spPr>
      </c:pivotFmt>
    </c:pivotFmts>
    <c:plotArea>
      <c:layout/>
      <c:pieChart>
        <c:varyColors val="1"/>
        <c:ser>
          <c:idx val="0"/>
          <c:order val="0"/>
          <c:tx>
            <c:strRef>
              <c:f>'עסקאות בכל עיר'!$B$3</c:f>
              <c:strCache>
                <c:ptCount val="1"/>
                <c:pt idx="0">
                  <c:v>סה"כ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586-4C1A-85BB-4FE0EAA16EC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8-A586-4C1A-85BB-4FE0EAA16ECC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A586-4C1A-85BB-4FE0EAA16EC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A586-4C1A-85BB-4FE0EAA16EC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586-4C1A-85BB-4FE0EAA16ECC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586-4C1A-85BB-4FE0EAA16ECC}"/>
              </c:ext>
            </c:extLst>
          </c:dPt>
          <c:dPt>
            <c:idx val="6"/>
            <c:bubble3D val="0"/>
            <c:explosion val="38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586-4C1A-85BB-4FE0EAA16ECC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4DDE-44C6-90B1-C25B2B5DC468}"/>
              </c:ext>
            </c:extLst>
          </c:dPt>
          <c:dLbls>
            <c:dLbl>
              <c:idx val="0"/>
              <c:layout>
                <c:manualLayout>
                  <c:x val="-0.11788604549431321"/>
                  <c:y val="0.19738407699037624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586-4C1A-85BB-4FE0EAA16ECC}"/>
                </c:ext>
              </c:extLst>
            </c:dLbl>
            <c:dLbl>
              <c:idx val="1"/>
              <c:layout>
                <c:manualLayout>
                  <c:x val="-0.16546522309711287"/>
                  <c:y val="4.9157553222513854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586-4C1A-85BB-4FE0EAA16ECC}"/>
                </c:ext>
              </c:extLst>
            </c:dLbl>
            <c:dLbl>
              <c:idx val="2"/>
              <c:layout>
                <c:manualLayout>
                  <c:x val="-0.14657808398950131"/>
                  <c:y val="-0.11268919510061243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586-4C1A-85BB-4FE0EAA16ECC}"/>
                </c:ext>
              </c:extLst>
            </c:dLbl>
            <c:dLbl>
              <c:idx val="3"/>
              <c:layout>
                <c:manualLayout>
                  <c:x val="-5.1839457567804025E-2"/>
                  <c:y val="-6.6967410323709536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586-4C1A-85BB-4FE0EAA16ECC}"/>
                </c:ext>
              </c:extLst>
            </c:dLbl>
            <c:dLbl>
              <c:idx val="4"/>
              <c:layout>
                <c:manualLayout>
                  <c:x val="0.11970417760279971"/>
                  <c:y val="-9.2430373286672501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586-4C1A-85BB-4FE0EAA16ECC}"/>
                </c:ext>
              </c:extLst>
            </c:dLbl>
            <c:dLbl>
              <c:idx val="5"/>
              <c:layout>
                <c:manualLayout>
                  <c:x val="0.15912839020122485"/>
                  <c:y val="-7.2455161854768149E-2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586-4C1A-85BB-4FE0EAA16ECC}"/>
                </c:ext>
              </c:extLst>
            </c:dLbl>
            <c:dLbl>
              <c:idx val="6"/>
              <c:layout>
                <c:manualLayout>
                  <c:x val="0.14557742782152222"/>
                  <c:y val="0.17252442403032955"/>
                </c:manualLayout>
              </c:layout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86-4C1A-85BB-4FE0EAA16EC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he-IL"/>
              </a:p>
            </c:txPr>
            <c:dLblPos val="bestFit"/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'עסקאות בכל עיר'!$A$4:$A$12</c:f>
              <c:strCache>
                <c:ptCount val="8"/>
                <c:pt idx="0">
                  <c:v>באר שבע</c:v>
                </c:pt>
                <c:pt idx="1">
                  <c:v>בת ים</c:v>
                </c:pt>
                <c:pt idx="2">
                  <c:v>הוד השרון</c:v>
                </c:pt>
                <c:pt idx="3">
                  <c:v>חולון</c:v>
                </c:pt>
                <c:pt idx="4">
                  <c:v>כפר סבא</c:v>
                </c:pt>
                <c:pt idx="5">
                  <c:v>נתניה</c:v>
                </c:pt>
                <c:pt idx="6">
                  <c:v>ראשון לציון</c:v>
                </c:pt>
                <c:pt idx="7">
                  <c:v>(ריק)</c:v>
                </c:pt>
              </c:strCache>
            </c:strRef>
          </c:cat>
          <c:val>
            <c:numRef>
              <c:f>'עסקאות בכל עיר'!$B$4:$B$12</c:f>
              <c:numCache>
                <c:formatCode>[$$-409]#,##0.00</c:formatCode>
                <c:ptCount val="8"/>
                <c:pt idx="0">
                  <c:v>8376000</c:v>
                </c:pt>
                <c:pt idx="1">
                  <c:v>9312000</c:v>
                </c:pt>
                <c:pt idx="2">
                  <c:v>6786000</c:v>
                </c:pt>
                <c:pt idx="3">
                  <c:v>6610123</c:v>
                </c:pt>
                <c:pt idx="4">
                  <c:v>5100000</c:v>
                </c:pt>
                <c:pt idx="5">
                  <c:v>9623236</c:v>
                </c:pt>
                <c:pt idx="6">
                  <c:v>13740000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586-4C1A-85BB-4FE0EAA16EC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360"/>
      </c:pieChart>
      <c:spPr>
        <a:noFill/>
        <a:ln>
          <a:noFill/>
        </a:ln>
        <a:effectLst/>
      </c:spPr>
    </c:plotArea>
    <c:legend>
      <c:legendPos val="l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he-I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he-IL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290513</xdr:colOff>
      <xdr:row>12</xdr:row>
      <xdr:rowOff>4762</xdr:rowOff>
    </xdr:from>
    <xdr:to>
      <xdr:col>12</xdr:col>
      <xdr:colOff>61913</xdr:colOff>
      <xdr:row>27</xdr:row>
      <xdr:rowOff>33337</xdr:rowOff>
    </xdr:to>
    <xdr:graphicFrame macro="">
      <xdr:nvGraphicFramePr>
        <xdr:cNvPr id="3" name="תרשים 2">
          <a:extLst>
            <a:ext uri="{FF2B5EF4-FFF2-40B4-BE49-F238E27FC236}">
              <a16:creationId xmlns:a16="http://schemas.microsoft.com/office/drawing/2014/main" id="{05B5D92E-2422-A53A-89E7-A1B1E6CF181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cademic26" refreshedDate="46061.426517129628" createdVersion="8" refreshedVersion="8" minRefreshableVersion="3" recordCount="63" xr:uid="{ED54AA4B-D7D2-4B9B-85FE-81C632D62C27}">
  <cacheSource type="worksheet">
    <worksheetSource ref="A4:U67" sheet="עסקאות"/>
  </cacheSource>
  <cacheFields count="17">
    <cacheField name="מספר עסקה" numFmtId="0">
      <sharedItems containsString="0" containsBlank="1" containsNumber="1" containsInteger="1" minValue="1" maxValue="62"/>
    </cacheField>
    <cacheField name="עיר" numFmtId="0">
      <sharedItems containsBlank="1" count="8">
        <s v="ראשון לציון"/>
        <s v="הוד השרון"/>
        <s v="כפר סבא"/>
        <s v="באר שבע"/>
        <s v="בת ים"/>
        <s v="נתניה"/>
        <s v="חולון"/>
        <m/>
      </sharedItems>
    </cacheField>
    <cacheField name="כתובת" numFmtId="0">
      <sharedItems containsBlank="1"/>
    </cacheField>
    <cacheField name="מספר חדרים" numFmtId="0">
      <sharedItems containsString="0" containsBlank="1" containsNumber="1" minValue="1.5" maxValue="8"/>
    </cacheField>
    <cacheField name="שטח במ&quot;ר" numFmtId="0">
      <sharedItems containsString="0" containsBlank="1" containsNumber="1" containsInteger="1" minValue="32" maxValue="250"/>
    </cacheField>
    <cacheField name="מעלית" numFmtId="0">
      <sharedItems containsBlank="1"/>
    </cacheField>
    <cacheField name="מחיר מכירה בדולר" numFmtId="0">
      <sharedItems containsString="0" containsBlank="1" containsNumber="1" containsInteger="1" minValue="336000" maxValue="3060000"/>
    </cacheField>
    <cacheField name="תאריך העסקה" numFmtId="0">
      <sharedItems containsNonDate="0" containsDate="1" containsString="0" containsBlank="1" minDate="2025-01-04T00:00:00" maxDate="2025-12-15T00:00:00"/>
    </cacheField>
    <cacheField name="דירוג עסקה" numFmtId="0">
      <sharedItems containsBlank="1"/>
    </cacheField>
    <cacheField name="מס רכישה" numFmtId="166">
      <sharedItems containsSemiMixedTypes="0" containsString="0" containsNumber="1" minValue="0" maxValue="812500"/>
    </cacheField>
    <cacheField name="עמלת סוכן נדל&quot;ן" numFmtId="0">
      <sharedItems containsString="0" containsBlank="1" containsNumber="1" minValue="3360" maxValue="259200"/>
    </cacheField>
    <cacheField name="תאריך מסירה" numFmtId="14">
      <sharedItems containsSemiMixedTypes="0" containsNonDate="0" containsDate="1" containsString="0" minDate="1900-06-30T00:00:00" maxDate="2027-06-01T00:00:00"/>
    </cacheField>
    <cacheField name="חודש עסקה" numFmtId="0">
      <sharedItems containsBlank="1"/>
    </cacheField>
    <cacheField name="שנת מכירה" numFmtId="0">
      <sharedItems containsString="0" containsBlank="1" containsNumber="1" containsInteger="1" minValue="2025" maxValue="2025"/>
    </cacheField>
    <cacheField name="איקס1" numFmtId="0">
      <sharedItems containsString="0" containsBlank="1" containsNumber="1" containsInteger="1" minValue="0" maxValue="900000"/>
    </cacheField>
    <cacheField name="איקס2" numFmtId="0">
      <sharedItems containsString="0" containsBlank="1" containsNumber="1" minValue="0.1" maxValue="0.3"/>
    </cacheField>
    <cacheField name="איקס3" numFmtId="0">
      <sharedItems containsString="0" containsBlank="1" containsNumber="1" containsInteger="1" minValue="0" maxValue="127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3">
  <r>
    <n v="1"/>
    <x v="0"/>
    <s v="  אביב  8"/>
    <n v="2"/>
    <n v="42"/>
    <s v="לא"/>
    <n v="452000"/>
    <d v="2025-06-09T00:00:00"/>
    <s v="קטנה"/>
    <n v="52540"/>
    <n v="13560"/>
    <d v="2026-04-01T00:00:00"/>
    <s v="יוני"/>
    <n v="2025"/>
    <n v="400000"/>
    <n v="0.12"/>
    <n v="40000"/>
  </r>
  <r>
    <n v="2"/>
    <x v="1"/>
    <s v="הזורע   4"/>
    <n v="5"/>
    <n v="150"/>
    <s v="כן"/>
    <n v="1452000"/>
    <d v="2025-08-02T00:00:00"/>
    <s v="גדולה"/>
    <n v="315100"/>
    <n v="130680"/>
    <d v="2026-02-02T00:00:00"/>
    <s v="אוגוסט"/>
    <n v="2025"/>
    <n v="900000"/>
    <n v="0.3"/>
    <n v="127000"/>
  </r>
  <r>
    <n v="3"/>
    <x v="2"/>
    <s v="     איריס 9"/>
    <n v="4"/>
    <n v="117"/>
    <s v="כן"/>
    <n v="924000"/>
    <d v="2025-02-13T00:00:00"/>
    <s v="בינונית"/>
    <n v="151750"/>
    <n v="27720"/>
    <d v="2025-08-13T00:00:00"/>
    <s v="פברואר"/>
    <n v="2025"/>
    <n v="900000"/>
    <n v="0.3"/>
    <n v="127000"/>
  </r>
  <r>
    <n v="4"/>
    <x v="0"/>
    <s v=" המאלכה 42"/>
    <n v="2.5"/>
    <n v="50"/>
    <s v="כן"/>
    <n v="368000"/>
    <d v="2025-04-14T00:00:00"/>
    <s v="קטנה"/>
    <n v="44300"/>
    <n v="7360"/>
    <d v="2025-10-14T00:00:00"/>
    <s v="אפריל"/>
    <n v="2025"/>
    <n v="0"/>
    <n v="0.1"/>
    <n v="0"/>
  </r>
  <r>
    <n v="5"/>
    <x v="3"/>
    <s v="הסנדר 5"/>
    <n v="3"/>
    <n v="75"/>
    <s v="לא"/>
    <n v="396000"/>
    <d v="2025-05-31T00:00:00"/>
    <s v="קטנה"/>
    <n v="50850"/>
    <n v="3960"/>
    <d v="2025-12-01T00:00:00"/>
    <s v="מאי"/>
    <n v="2025"/>
    <n v="0"/>
    <n v="0.1"/>
    <n v="0"/>
  </r>
  <r>
    <n v="6"/>
    <x v="4"/>
    <s v=" גולני   5"/>
    <n v="4.5"/>
    <n v="124"/>
    <s v="כן"/>
    <n v="990000"/>
    <d v="2025-04-24T00:00:00"/>
    <s v="קטנה"/>
    <n v="172600"/>
    <n v="49500"/>
    <d v="2025-10-24T00:00:00"/>
    <s v="אפריל"/>
    <n v="2025"/>
    <n v="900000"/>
    <n v="0.3"/>
    <n v="127000"/>
  </r>
  <r>
    <n v="7"/>
    <x v="2"/>
    <s v="טשרניחובסקי  6"/>
    <n v="2"/>
    <n v="40"/>
    <s v="כן"/>
    <n v="468000"/>
    <d v="2025-03-18T00:00:00"/>
    <s v="קטנה"/>
    <n v="54160"/>
    <n v="14040"/>
    <d v="2026-04-01T00:00:00"/>
    <s v="מרץ"/>
    <n v="2025"/>
    <n v="400000"/>
    <n v="0.12"/>
    <n v="40000"/>
  </r>
  <r>
    <n v="8"/>
    <x v="5"/>
    <s v="    רדפת    7"/>
    <n v="4"/>
    <n v="100"/>
    <s v="כן"/>
    <n v="726000"/>
    <d v="2025-06-06T00:00:00"/>
    <s v="בינונית"/>
    <n v="104700"/>
    <n v="43560"/>
    <d v="2025-12-06T00:00:00"/>
    <s v="יוני"/>
    <n v="2025"/>
    <n v="650000"/>
    <n v="0.2"/>
    <n v="74500"/>
  </r>
  <r>
    <n v="9"/>
    <x v="6"/>
    <s v="החיל   1"/>
    <n v="2"/>
    <n v="38"/>
    <s v="כן"/>
    <n v="512000"/>
    <d v="2025-12-14T00:00:00"/>
    <s v="קטנה"/>
    <n v="59500"/>
    <n v="25600"/>
    <d v="2026-04-01T00:00:00"/>
    <s v="דצמבר"/>
    <n v="2025"/>
    <n v="500000"/>
    <n v="0.15"/>
    <n v="52000"/>
  </r>
  <r>
    <n v="10"/>
    <x v="0"/>
    <s v="   גולומב   11"/>
    <n v="6"/>
    <n v="73"/>
    <s v="כן"/>
    <n v="1332000"/>
    <d v="2025-01-13T00:00:00"/>
    <s v="קטנה"/>
    <n v="267550"/>
    <n v="119880"/>
    <d v="2025-07-13T00:00:00"/>
    <s v="ינואר"/>
    <n v="2025"/>
    <n v="900000"/>
    <n v="0.3"/>
    <n v="127000"/>
  </r>
  <r>
    <n v="11"/>
    <x v="0"/>
    <s v="  הגושים   2"/>
    <n v="5"/>
    <n v="155"/>
    <s v="כן"/>
    <n v="540000"/>
    <d v="2025-04-16T00:00:00"/>
    <s v="קטנה"/>
    <n v="81250"/>
    <n v="16200"/>
    <d v="2025-10-16T00:00:00"/>
    <s v="אפריל"/>
    <n v="2025"/>
    <n v="500000"/>
    <n v="0.15"/>
    <n v="52000"/>
  </r>
  <r>
    <n v="12"/>
    <x v="5"/>
    <s v="     משה דיין 9"/>
    <n v="2"/>
    <n v="32"/>
    <s v="כן"/>
    <n v="441236"/>
    <d v="2025-09-12T00:00:00"/>
    <s v="קטנה"/>
    <n v="49748.32"/>
    <n v="8824.7199999999993"/>
    <d v="2026-04-01T00:00:00"/>
    <s v="ספטמבר"/>
    <n v="2025"/>
    <n v="400000"/>
    <n v="0.12"/>
    <n v="40000"/>
  </r>
  <r>
    <n v="13"/>
    <x v="4"/>
    <s v="קציר   21"/>
    <n v="2.5"/>
    <n v="50"/>
    <s v="לא"/>
    <n v="380000"/>
    <d v="2025-11-17T00:00:00"/>
    <s v="קטנה"/>
    <n v="45500"/>
    <n v="7600"/>
    <d v="2026-05-17T00:00:00"/>
    <s v="נובמבר"/>
    <n v="2025"/>
    <n v="0"/>
    <n v="0.1"/>
    <n v="0"/>
  </r>
  <r>
    <n v="14"/>
    <x v="2"/>
    <s v="   ביאליק 1"/>
    <n v="2.5"/>
    <n v="52"/>
    <s v="כן"/>
    <n v="606000"/>
    <d v="2025-04-29T00:00:00"/>
    <s v="קטנה"/>
    <n v="75700"/>
    <n v="18180"/>
    <d v="2025-10-29T00:00:00"/>
    <s v="אפריל"/>
    <n v="2025"/>
    <n v="500000"/>
    <n v="0.15"/>
    <n v="52000"/>
  </r>
  <r>
    <n v="15"/>
    <x v="1"/>
    <s v="סתיו   32"/>
    <n v="6"/>
    <n v="90"/>
    <s v="כן"/>
    <n v="1278000"/>
    <d v="2025-06-12T00:00:00"/>
    <s v="גדולה"/>
    <n v="253900"/>
    <n v="115020"/>
    <d v="2025-12-12T00:00:00"/>
    <s v="יוני"/>
    <n v="2025"/>
    <n v="900000"/>
    <n v="0.3"/>
    <n v="127000"/>
  </r>
  <r>
    <n v="16"/>
    <x v="4"/>
    <s v="משאבים  21"/>
    <n v="3.5"/>
    <n v="82"/>
    <s v="כן"/>
    <n v="420000"/>
    <d v="2025-05-21T00:00:00"/>
    <s v="קטנה"/>
    <n v="54700"/>
    <n v="8400"/>
    <d v="2025-11-21T00:00:00"/>
    <s v="מאי"/>
    <n v="2025"/>
    <n v="400000"/>
    <n v="0.12"/>
    <n v="40000"/>
  </r>
  <r>
    <n v="17"/>
    <x v="0"/>
    <s v="הברוש   9"/>
    <n v="3"/>
    <n v="68"/>
    <s v="כן"/>
    <n v="399000"/>
    <d v="2025-08-10T00:00:00"/>
    <s v="קטנה"/>
    <n v="50100"/>
    <n v="7980"/>
    <d v="2026-02-10T00:00:00"/>
    <s v="אוגוסט"/>
    <n v="2025"/>
    <n v="0"/>
    <n v="0.1"/>
    <n v="0"/>
  </r>
  <r>
    <n v="18"/>
    <x v="3"/>
    <s v="התמר   4"/>
    <n v="2.5"/>
    <n v="50"/>
    <s v="כן"/>
    <n v="894000"/>
    <d v="2025-01-06T00:00:00"/>
    <s v="קטנה"/>
    <n v="133000"/>
    <n v="44700"/>
    <d v="2025-07-06T00:00:00"/>
    <s v="ינואר"/>
    <n v="2025"/>
    <n v="850000"/>
    <n v="0.25"/>
    <n v="114500"/>
  </r>
  <r>
    <n v="19"/>
    <x v="2"/>
    <s v="    קרן היסוד  18"/>
    <n v="3"/>
    <n v="75"/>
    <s v="כן"/>
    <n v="858000"/>
    <d v="2025-01-04T00:00:00"/>
    <s v="בינונית"/>
    <n v="127750"/>
    <n v="25740"/>
    <d v="2025-07-04T00:00:00"/>
    <s v="ינואר"/>
    <n v="2025"/>
    <n v="850000"/>
    <n v="0.25"/>
    <n v="114500"/>
  </r>
  <r>
    <n v="20"/>
    <x v="1"/>
    <s v="  יצחק רבין  19"/>
    <n v="3"/>
    <n v="68"/>
    <s v="לא"/>
    <n v="450000"/>
    <d v="2025-01-20T00:00:00"/>
    <s v="קטנה"/>
    <n v="56200"/>
    <n v="27000"/>
    <d v="2025-07-20T00:00:00"/>
    <s v="ינואר"/>
    <n v="2025"/>
    <n v="400000"/>
    <n v="0.12"/>
    <n v="40000"/>
  </r>
  <r>
    <n v="21"/>
    <x v="0"/>
    <s v="האלון 9"/>
    <n v="8"/>
    <n v="220"/>
    <s v="כן"/>
    <n v="2660000"/>
    <d v="2025-10-09T00:00:00"/>
    <s v="קטנה"/>
    <n v="688000"/>
    <n v="239400"/>
    <d v="2026-04-09T00:00:00"/>
    <s v="אוקטובר"/>
    <n v="2025"/>
    <n v="900000"/>
    <n v="0.3"/>
    <n v="127000"/>
  </r>
  <r>
    <n v="22"/>
    <x v="5"/>
    <s v="הברוש 6"/>
    <n v="4"/>
    <n v="95"/>
    <s v="כן"/>
    <n v="414000"/>
    <d v="2025-04-03T00:00:00"/>
    <s v="קטנה"/>
    <n v="55930"/>
    <n v="8280"/>
    <d v="2025-10-03T00:00:00"/>
    <s v="אפריל"/>
    <n v="2025"/>
    <n v="400000"/>
    <n v="0.12"/>
    <n v="40000"/>
  </r>
  <r>
    <n v="23"/>
    <x v="6"/>
    <s v="ברנדס   6"/>
    <n v="4"/>
    <n v="88"/>
    <s v="כן"/>
    <n v="666000"/>
    <d v="2025-04-30T00:00:00"/>
    <s v="קטנה"/>
    <n v="90900"/>
    <n v="39960"/>
    <d v="2025-10-30T00:00:00"/>
    <s v="אפריל"/>
    <n v="2025"/>
    <n v="650000"/>
    <n v="0.2"/>
    <n v="74500"/>
  </r>
  <r>
    <n v="24"/>
    <x v="3"/>
    <s v="  בר   אילן   8"/>
    <n v="3"/>
    <n v="82"/>
    <s v="כן"/>
    <n v="1290000"/>
    <d v="2025-03-23T00:00:00"/>
    <s v="קטנה"/>
    <n v="256300"/>
    <n v="77400"/>
    <d v="2025-09-23T00:00:00"/>
    <s v="מרץ"/>
    <n v="2025"/>
    <n v="900000"/>
    <n v="0.3"/>
    <n v="127000"/>
  </r>
  <r>
    <n v="25"/>
    <x v="3"/>
    <s v="טשרניחובסקי  16"/>
    <n v="3.5"/>
    <n v="90"/>
    <s v="כן"/>
    <n v="462000"/>
    <d v="2025-02-15T00:00:00"/>
    <s v="קטנה"/>
    <n v="60940"/>
    <n v="9240"/>
    <d v="2025-08-15T00:00:00"/>
    <s v="פברואר"/>
    <n v="2025"/>
    <n v="400000"/>
    <n v="0.12"/>
    <n v="40000"/>
  </r>
  <r>
    <n v="26"/>
    <x v="2"/>
    <s v="   הרצל  21"/>
    <n v="3"/>
    <n v="68"/>
    <s v="כן"/>
    <n v="414000"/>
    <d v="2025-11-10T00:00:00"/>
    <s v="קטנה"/>
    <n v="51880"/>
    <n v="8280"/>
    <d v="2026-05-10T00:00:00"/>
    <s v="נובמבר"/>
    <n v="2025"/>
    <n v="400000"/>
    <n v="0.12"/>
    <n v="40000"/>
  </r>
  <r>
    <n v="27"/>
    <x v="3"/>
    <s v=" הבנים     32"/>
    <n v="3"/>
    <n v="68"/>
    <s v="כן"/>
    <n v="1128000"/>
    <d v="2025-10-13T00:00:00"/>
    <s v="קטנה"/>
    <n v="205600"/>
    <n v="67680"/>
    <d v="2026-04-13T00:00:00"/>
    <s v="אוקטובר"/>
    <n v="2025"/>
    <n v="900000"/>
    <n v="0.3"/>
    <n v="127000"/>
  </r>
  <r>
    <n v="28"/>
    <x v="4"/>
    <s v="הרימון    9"/>
    <n v="6"/>
    <n v="140"/>
    <s v="כן"/>
    <n v="2460000"/>
    <d v="2025-05-01T00:00:00"/>
    <s v="קטנה"/>
    <n v="616000"/>
    <n v="172200.00000000003"/>
    <d v="2027-05-31T00:00:00"/>
    <s v="מאי"/>
    <n v="2025"/>
    <n v="900000"/>
    <n v="0.3"/>
    <n v="127000"/>
  </r>
  <r>
    <n v="29"/>
    <x v="0"/>
    <s v="ירושלים       14"/>
    <n v="7"/>
    <n v="180"/>
    <s v="כן"/>
    <n v="2880000"/>
    <d v="2025-09-02T00:00:00"/>
    <s v="קטנה"/>
    <n v="748000"/>
    <n v="259200"/>
    <d v="2026-03-02T00:00:00"/>
    <s v="ספטמבר"/>
    <n v="2025"/>
    <n v="900000"/>
    <n v="0.3"/>
    <n v="127000"/>
  </r>
  <r>
    <n v="30"/>
    <x v="4"/>
    <s v="חנקין  6"/>
    <n v="3"/>
    <n v="68"/>
    <s v="כן"/>
    <n v="1470000"/>
    <d v="2025-11-16T00:00:00"/>
    <s v="קטנה"/>
    <n v="308200"/>
    <n v="102900.00000000001"/>
    <d v="2026-05-16T00:00:00"/>
    <s v="נובמבר"/>
    <n v="2025"/>
    <n v="900000"/>
    <n v="0.3"/>
    <n v="127000"/>
  </r>
  <r>
    <n v="31"/>
    <x v="6"/>
    <s v="אסירי ציון 13"/>
    <n v="2.5"/>
    <n v="35"/>
    <s v="לא"/>
    <n v="352000"/>
    <d v="2025-01-13T00:00:00"/>
    <s v="קטנה"/>
    <n v="40450"/>
    <n v="10560"/>
    <d v="2025-07-13T00:00:00"/>
    <s v="ינואר"/>
    <n v="2025"/>
    <n v="0"/>
    <n v="0.1"/>
    <n v="0"/>
  </r>
  <r>
    <n v="32"/>
    <x v="2"/>
    <s v="כלנית  19"/>
    <n v="4"/>
    <n v="115"/>
    <s v="כן"/>
    <n v="510000"/>
    <d v="2025-12-06T00:00:00"/>
    <s v="קטנה"/>
    <n v="70750"/>
    <n v="15300"/>
    <d v="2026-06-06T00:00:00"/>
    <s v="דצמבר"/>
    <n v="2025"/>
    <n v="500000"/>
    <n v="0.15"/>
    <n v="52000"/>
  </r>
  <r>
    <n v="33"/>
    <x v="2"/>
    <s v="  יהודה הלוי   6"/>
    <n v="3"/>
    <n v="80"/>
    <s v="כן"/>
    <n v="1320000"/>
    <d v="2025-01-22T00:00:00"/>
    <s v="גדולה"/>
    <n v="265000"/>
    <n v="79200"/>
    <d v="2025-07-22T00:00:00"/>
    <s v="ינואר"/>
    <n v="2025"/>
    <n v="900000"/>
    <n v="0.3"/>
    <n v="127000"/>
  </r>
  <r>
    <n v="34"/>
    <x v="1"/>
    <s v="בורוכוב    15"/>
    <n v="5"/>
    <n v="165"/>
    <s v="כן"/>
    <n v="2808000"/>
    <d v="2025-05-30T00:00:00"/>
    <s v="גדולה"/>
    <n v="724150"/>
    <n v="252720"/>
    <d v="2025-11-30T00:00:00"/>
    <s v="מאי"/>
    <n v="2025"/>
    <n v="900000"/>
    <n v="0.3"/>
    <n v="127000"/>
  </r>
  <r>
    <n v="35"/>
    <x v="3"/>
    <s v="נשר   14"/>
    <n v="5"/>
    <n v="110"/>
    <s v="כן"/>
    <n v="666000"/>
    <d v="2025-07-26T00:00:00"/>
    <s v="קטנה"/>
    <n v="94200"/>
    <n v="33300"/>
    <d v="2026-01-26T00:00:00"/>
    <s v="יולי"/>
    <n v="2025"/>
    <n v="650000"/>
    <n v="0.2"/>
    <n v="74500"/>
  </r>
  <r>
    <n v="36"/>
    <x v="6"/>
    <s v="     איריס    11    "/>
    <n v="7"/>
    <n v="130"/>
    <s v="כן"/>
    <n v="2370000"/>
    <d v="2025-02-22T00:00:00"/>
    <s v="קטנה"/>
    <n v="587500"/>
    <n v="165900.00000000003"/>
    <d v="2025-08-22T00:00:00"/>
    <s v="פברואר"/>
    <n v="2025"/>
    <n v="900000"/>
    <n v="0.3"/>
    <n v="127000"/>
  </r>
  <r>
    <n v="37"/>
    <x v="3"/>
    <s v="  מכבי    24"/>
    <n v="5"/>
    <n v="140"/>
    <s v="כן"/>
    <n v="516000"/>
    <d v="2025-03-23T00:00:00"/>
    <s v="קטנה"/>
    <n v="75400"/>
    <n v="10320"/>
    <d v="2025-09-23T00:00:00"/>
    <s v="מרץ"/>
    <n v="2025"/>
    <n v="500000"/>
    <n v="0.15"/>
    <n v="52000"/>
  </r>
  <r>
    <n v="38"/>
    <x v="6"/>
    <s v="  תל   חי  17"/>
    <n v="3.5"/>
    <n v="85"/>
    <s v="כן"/>
    <n v="696000"/>
    <d v="2025-09-22T00:00:00"/>
    <s v="קטנה"/>
    <n v="96450"/>
    <n v="41760"/>
    <d v="2026-03-22T00:00:00"/>
    <s v="ספטמבר"/>
    <n v="2025"/>
    <n v="650000"/>
    <n v="0.2"/>
    <n v="74500"/>
  </r>
  <r>
    <n v="39"/>
    <x v="4"/>
    <s v="יצחק רבין    17"/>
    <n v="2"/>
    <n v="40"/>
    <s v="כן"/>
    <n v="960000"/>
    <d v="2025-06-07T00:00:00"/>
    <s v="קטנה"/>
    <n v="151000"/>
    <n v="48000"/>
    <d v="2026-04-01T00:00:00"/>
    <s v="יוני"/>
    <n v="2025"/>
    <n v="900000"/>
    <n v="0.3"/>
    <n v="127000"/>
  </r>
  <r>
    <n v="40"/>
    <x v="0"/>
    <s v="שחף    28"/>
    <n v="4"/>
    <n v="90"/>
    <s v="כן"/>
    <n v="1470000"/>
    <d v="2025-05-17T00:00:00"/>
    <s v="קטנה"/>
    <n v="311500"/>
    <n v="132300"/>
    <d v="2025-11-17T00:00:00"/>
    <s v="מאי"/>
    <n v="2025"/>
    <n v="900000"/>
    <n v="0.3"/>
    <n v="127000"/>
  </r>
  <r>
    <n v="41"/>
    <x v="1"/>
    <s v="ששת  הימים 21"/>
    <n v="6"/>
    <n v="120"/>
    <s v="כן"/>
    <n v="798000"/>
    <d v="2025-04-14T00:00:00"/>
    <s v="בינונית"/>
    <n v="122100"/>
    <n v="55860.000000000007"/>
    <d v="2025-10-14T00:00:00"/>
    <s v="אפריל"/>
    <n v="2025"/>
    <n v="650000"/>
    <n v="0.2"/>
    <n v="74500"/>
  </r>
  <r>
    <n v="42"/>
    <x v="4"/>
    <s v="בן גוריון  41"/>
    <n v="3.5"/>
    <n v="85"/>
    <s v="כן"/>
    <n v="612000"/>
    <d v="2025-07-15T00:00:00"/>
    <s v="קטנה"/>
    <n v="81550"/>
    <n v="30600"/>
    <d v="2026-01-15T00:00:00"/>
    <s v="יולי"/>
    <n v="2025"/>
    <n v="500000"/>
    <n v="0.15"/>
    <n v="52000"/>
  </r>
  <r>
    <n v="43"/>
    <x v="5"/>
    <s v="יהודה  הלוי  18"/>
    <n v="8"/>
    <n v="250"/>
    <s v="כן"/>
    <n v="3060000"/>
    <d v="2025-04-12T00:00:00"/>
    <s v="גדולה"/>
    <n v="812500"/>
    <n v="122400"/>
    <d v="2025-10-12T00:00:00"/>
    <s v="אפריל"/>
    <n v="2025"/>
    <n v="900000"/>
    <n v="0.3"/>
    <n v="127000"/>
  </r>
  <r>
    <n v="44"/>
    <x v="0"/>
    <s v=" גלילי     9"/>
    <n v="3.5"/>
    <n v="100"/>
    <s v="כן"/>
    <n v="462000"/>
    <d v="2025-04-01T00:00:00"/>
    <s v="קטנה"/>
    <n v="62440"/>
    <n v="13860"/>
    <d v="2025-10-01T00:00:00"/>
    <s v="אפריל"/>
    <n v="2025"/>
    <n v="400000"/>
    <n v="0.12"/>
    <n v="40000"/>
  </r>
  <r>
    <n v="45"/>
    <x v="3"/>
    <s v="הגפן  17"/>
    <n v="4"/>
    <n v="100"/>
    <s v="כן"/>
    <n v="504000"/>
    <d v="2025-09-01T00:00:00"/>
    <s v="קטנה"/>
    <n v="67600"/>
    <n v="10080"/>
    <d v="2026-03-01T00:00:00"/>
    <s v="ספטמבר"/>
    <n v="2025"/>
    <n v="500000"/>
    <n v="0.15"/>
    <n v="52000"/>
  </r>
  <r>
    <n v="46"/>
    <x v="6"/>
    <s v="  ספיר   6"/>
    <n v="5"/>
    <n v="180"/>
    <s v="כן"/>
    <n v="1020000"/>
    <d v="2025-08-12T00:00:00"/>
    <s v="קטנה"/>
    <n v="190000"/>
    <n v="71400"/>
    <d v="2026-02-12T00:00:00"/>
    <s v="אוגוסט"/>
    <n v="2025"/>
    <n v="900000"/>
    <n v="0.3"/>
    <n v="127000"/>
  </r>
  <r>
    <n v="47"/>
    <x v="6"/>
    <s v="הגליל   17"/>
    <n v="3"/>
    <n v="75"/>
    <s v="כן"/>
    <n v="600000"/>
    <d v="2025-08-10T00:00:00"/>
    <s v="קטנה"/>
    <n v="78250"/>
    <n v="36000"/>
    <d v="2026-02-10T00:00:00"/>
    <s v="אוגוסט"/>
    <n v="2025"/>
    <n v="500000"/>
    <n v="0.15"/>
    <n v="52000"/>
  </r>
  <r>
    <n v="48"/>
    <x v="3"/>
    <s v="כצנלסון  22"/>
    <n v="2.5"/>
    <n v="48"/>
    <s v="כן"/>
    <n v="1158000"/>
    <d v="2025-10-29T00:00:00"/>
    <s v="קטנה"/>
    <n v="211600"/>
    <n v="69480"/>
    <d v="2026-04-29T00:00:00"/>
    <s v="אוקטובר"/>
    <n v="2025"/>
    <n v="900000"/>
    <n v="0.3"/>
    <n v="127000"/>
  </r>
  <r>
    <n v="49"/>
    <x v="4"/>
    <s v="אחוזה    15"/>
    <n v="4"/>
    <n v="135"/>
    <s v="כן"/>
    <n v="852000"/>
    <d v="2025-07-07T00:00:00"/>
    <s v="קטנה"/>
    <n v="135250"/>
    <n v="42600"/>
    <d v="2026-01-07T00:00:00"/>
    <s v="יולי"/>
    <n v="2025"/>
    <n v="850000"/>
    <n v="0.25"/>
    <n v="114500"/>
  </r>
  <r>
    <n v="50"/>
    <x v="0"/>
    <s v="הסנדלר     6"/>
    <n v="1.5"/>
    <n v="38"/>
    <s v="כן"/>
    <n v="1230000"/>
    <d v="2025-08-10T00:00:00"/>
    <s v="קטנה"/>
    <n v="231700"/>
    <n v="110700"/>
    <d v="2026-02-10T00:00:00"/>
    <s v="אוגוסט"/>
    <n v="2025"/>
    <n v="900000"/>
    <n v="0.3"/>
    <n v="127000"/>
  </r>
  <r>
    <n v="51"/>
    <x v="0"/>
    <s v="    הדרים 3"/>
    <n v="3"/>
    <n v="68"/>
    <s v="כן"/>
    <n v="414000"/>
    <d v="2025-04-16T00:00:00"/>
    <s v="קטנה"/>
    <n v="51880"/>
    <n v="8280"/>
    <d v="2025-10-16T00:00:00"/>
    <s v="אפריל"/>
    <n v="2025"/>
    <n v="400000"/>
    <n v="0.12"/>
    <n v="40000"/>
  </r>
  <r>
    <n v="52"/>
    <x v="5"/>
    <s v=" צנחנים     14"/>
    <n v="8"/>
    <n v="210"/>
    <s v="כן"/>
    <n v="2786000"/>
    <d v="2025-01-17T00:00:00"/>
    <s v="גדולה"/>
    <n v="724300"/>
    <n v="111440"/>
    <d v="2025-07-17T00:00:00"/>
    <s v="ינואר"/>
    <n v="2025"/>
    <n v="900000"/>
    <n v="0.3"/>
    <n v="127000"/>
  </r>
  <r>
    <n v="53"/>
    <x v="3"/>
    <s v="הלימון    18"/>
    <n v="3"/>
    <n v="74"/>
    <s v="כן"/>
    <n v="378000"/>
    <d v="2025-04-23T00:00:00"/>
    <s v="קטנה"/>
    <n v="48900"/>
    <n v="3780"/>
    <d v="2025-10-23T00:00:00"/>
    <s v="אפריל"/>
    <n v="2025"/>
    <n v="0"/>
    <n v="0.1"/>
    <n v="0"/>
  </r>
  <r>
    <n v="54"/>
    <x v="6"/>
    <s v="הפרחים   30"/>
    <n v="3"/>
    <n v="65"/>
    <s v="כן"/>
    <n v="394123"/>
    <d v="2025-02-12T00:00:00"/>
    <s v="קטנה"/>
    <n v="49162.3"/>
    <n v="11823.689999999999"/>
    <d v="2025-08-12T00:00:00"/>
    <s v="פברואר"/>
    <n v="2025"/>
    <n v="0"/>
    <n v="0.1"/>
    <n v="0"/>
  </r>
  <r>
    <n v="55"/>
    <x v="5"/>
    <s v="ששת  הימים 21"/>
    <n v="4.5"/>
    <n v="124"/>
    <s v="כן"/>
    <n v="888000"/>
    <d v="2025-05-03T00:00:00"/>
    <s v="בינונית"/>
    <n v="142600"/>
    <n v="53280"/>
    <d v="2025-11-03T00:00:00"/>
    <s v="מאי"/>
    <n v="2025"/>
    <n v="850000"/>
    <n v="0.25"/>
    <n v="114500"/>
  </r>
  <r>
    <n v="56"/>
    <x v="3"/>
    <s v="משעול גיל   18"/>
    <n v="3"/>
    <n v="72"/>
    <s v="לא"/>
    <n v="336000"/>
    <d v="2025-06-08T00:00:00"/>
    <s v="קטנה"/>
    <n v="44400"/>
    <n v="3360"/>
    <d v="2025-12-08T00:00:00"/>
    <s v="יוני"/>
    <n v="2025"/>
    <n v="0"/>
    <n v="0.1"/>
    <n v="0"/>
  </r>
  <r>
    <n v="57"/>
    <x v="4"/>
    <s v="צהלה   14"/>
    <n v="2"/>
    <n v="50"/>
    <s v="כן"/>
    <n v="768000"/>
    <d v="2025-10-12T00:00:00"/>
    <s v="קטנה"/>
    <n v="105600"/>
    <n v="38400"/>
    <d v="2026-04-01T00:00:00"/>
    <s v="אוקטובר"/>
    <n v="2025"/>
    <n v="650000"/>
    <n v="0.2"/>
    <n v="74500"/>
  </r>
  <r>
    <n v="58"/>
    <x v="5"/>
    <s v="סוקולוב     17"/>
    <n v="3"/>
    <n v="75"/>
    <s v="כן"/>
    <n v="1308000"/>
    <d v="2025-01-08T00:00:00"/>
    <s v="גדולה"/>
    <n v="260650"/>
    <n v="52320"/>
    <d v="2025-07-08T00:00:00"/>
    <s v="ינואר"/>
    <n v="2025"/>
    <n v="900000"/>
    <n v="0.3"/>
    <n v="127000"/>
  </r>
  <r>
    <n v="59"/>
    <x v="0"/>
    <s v="משעול    גיל 1"/>
    <n v="2"/>
    <n v="38"/>
    <s v="כן"/>
    <n v="369000"/>
    <d v="2025-12-01T00:00:00"/>
    <s v="קטנה"/>
    <n v="42600"/>
    <n v="7380"/>
    <d v="2026-04-01T00:00:00"/>
    <s v="דצמבר"/>
    <n v="2025"/>
    <n v="0"/>
    <n v="0.1"/>
    <n v="0"/>
  </r>
  <r>
    <n v="60"/>
    <x v="3"/>
    <s v="הגלעד   7"/>
    <n v="5"/>
    <n v="150"/>
    <s v="כן"/>
    <n v="648000"/>
    <d v="2025-01-25T00:00:00"/>
    <s v="קטנה"/>
    <n v="96700"/>
    <n v="32400"/>
    <d v="2025-07-25T00:00:00"/>
    <s v="ינואר"/>
    <n v="2025"/>
    <n v="500000"/>
    <n v="0.15"/>
    <n v="52000"/>
  </r>
  <r>
    <n v="61"/>
    <x v="4"/>
    <s v="חובבי ציון    24"/>
    <n v="2"/>
    <n v="40"/>
    <s v="כן"/>
    <n v="400000"/>
    <d v="2025-01-13T00:00:00"/>
    <s v="קטנה"/>
    <n v="46000"/>
    <n v="8000"/>
    <d v="2026-04-01T00:00:00"/>
    <s v="ינואר"/>
    <n v="2025"/>
    <n v="400000"/>
    <n v="0.12"/>
    <n v="40000"/>
  </r>
  <r>
    <n v="62"/>
    <x v="0"/>
    <s v="הכרמל   5"/>
    <n v="4"/>
    <n v="125"/>
    <s v="כן"/>
    <n v="1164000"/>
    <d v="2025-01-25T00:00:00"/>
    <s v="קטנה"/>
    <n v="224950"/>
    <n v="104760"/>
    <d v="2025-07-25T00:00:00"/>
    <s v="ינואר"/>
    <n v="2025"/>
    <n v="900000"/>
    <n v="0.3"/>
    <n v="127000"/>
  </r>
  <r>
    <m/>
    <x v="7"/>
    <m/>
    <m/>
    <m/>
    <m/>
    <m/>
    <m/>
    <m/>
    <n v="0"/>
    <m/>
    <d v="1900-06-30T00:00:00"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2D0C06E-A14A-4784-8AB3-B50BD136617A}" name="PivotTable1" cacheId="0" applyNumberFormats="0" applyBorderFormats="0" applyFontFormats="0" applyPatternFormats="0" applyAlignmentFormats="0" applyWidthHeightFormats="1" dataCaption="ערכים" updatedVersion="8" minRefreshableVersion="3" useAutoFormatting="1" itemPrintTitles="1" createdVersion="8" indent="0" outline="1" outlineData="1" multipleFieldFilters="0" chartFormat="2">
  <location ref="A3:B12" firstHeaderRow="1" firstDataRow="1" firstDataCol="1"/>
  <pivotFields count="17">
    <pivotField showAll="0"/>
    <pivotField axis="axisRow" showAll="0">
      <items count="9">
        <item x="3"/>
        <item x="4"/>
        <item x="1"/>
        <item x="6"/>
        <item x="2"/>
        <item x="5"/>
        <item x="0"/>
        <item x="7"/>
        <item t="default"/>
      </items>
    </pivotField>
    <pivotField showAll="0"/>
    <pivotField showAll="0"/>
    <pivotField showAll="0"/>
    <pivotField showAll="0"/>
    <pivotField dataField="1" showAll="0"/>
    <pivotField showAll="0"/>
    <pivotField showAll="0"/>
    <pivotField numFmtId="166" showAll="0"/>
    <pivotField showAll="0"/>
    <pivotField numFmtId="14" showAll="0"/>
    <pivotField showAll="0"/>
    <pivotField showAll="0"/>
    <pivotField showAll="0"/>
    <pivotField showAll="0"/>
    <pivotField showAl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Items count="1">
    <i/>
  </colItems>
  <dataFields count="1">
    <dataField name="סכום של מחיר מכירה בדולר" fld="6" baseField="1" baseItem="0" numFmtId="168"/>
  </dataFields>
  <chartFormats count="8">
    <chartFormat chart="1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  <chartFormat chart="1" format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6"/>
          </reference>
        </references>
      </pivotArea>
    </chartFormat>
    <chartFormat chart="1" format="2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1" format="3">
      <pivotArea type="data" outline="0" fieldPosition="0">
        <references count="2">
          <reference field="4294967294" count="1" selected="0">
            <x v="0"/>
          </reference>
          <reference field="1" count="1" selected="0">
            <x v="5"/>
          </reference>
        </references>
      </pivotArea>
    </chartFormat>
    <chartFormat chart="1" format="4">
      <pivotArea type="data" outline="0" fieldPosition="0">
        <references count="2">
          <reference field="4294967294" count="1" selected="0">
            <x v="0"/>
          </reference>
          <reference field="1" count="1" selected="0">
            <x v="4"/>
          </reference>
        </references>
      </pivotArea>
    </chartFormat>
    <chartFormat chart="1" format="5">
      <pivotArea type="data" outline="0" fieldPosition="0">
        <references count="2">
          <reference field="4294967294" count="1" selected="0">
            <x v="0"/>
          </reference>
          <reference field="1" count="1" selected="0">
            <x v="3"/>
          </reference>
        </references>
      </pivotArea>
    </chartFormat>
    <chartFormat chart="1" format="6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1" format="7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AD84"/>
  <sheetViews>
    <sheetView rightToLeft="1" tabSelected="1" topLeftCell="L1" zoomScaleNormal="100" workbookViewId="0">
      <selection activeCell="Q71" sqref="Q71"/>
    </sheetView>
  </sheetViews>
  <sheetFormatPr defaultRowHeight="14.25" x14ac:dyDescent="0.2"/>
  <cols>
    <col min="1" max="1" width="5.625" bestFit="1" customWidth="1"/>
    <col min="2" max="2" width="7.625" bestFit="1" customWidth="1"/>
    <col min="3" max="3" width="12.5" style="6" bestFit="1" customWidth="1"/>
    <col min="4" max="4" width="7.75" customWidth="1"/>
    <col min="5" max="5" width="6.625" customWidth="1"/>
    <col min="6" max="6" width="8.25" customWidth="1"/>
    <col min="7" max="7" width="14.375" customWidth="1"/>
    <col min="8" max="8" width="13" customWidth="1"/>
    <col min="10" max="10" width="12" bestFit="1" customWidth="1"/>
    <col min="11" max="12" width="11.875" customWidth="1"/>
    <col min="13" max="14" width="14.5" customWidth="1"/>
    <col min="15" max="15" width="20.75" customWidth="1"/>
    <col min="16" max="16" width="14.5" customWidth="1"/>
    <col min="17" max="17" width="11.875" bestFit="1" customWidth="1"/>
    <col min="22" max="22" width="10.75" customWidth="1"/>
    <col min="24" max="24" width="11.125" customWidth="1"/>
    <col min="28" max="28" width="22" customWidth="1"/>
    <col min="29" max="29" width="14.625" bestFit="1" customWidth="1"/>
  </cols>
  <sheetData>
    <row r="2" spans="1:28" ht="15" x14ac:dyDescent="0.25">
      <c r="A2" s="48" t="s">
        <v>80</v>
      </c>
      <c r="B2" s="48"/>
      <c r="C2" s="48"/>
      <c r="D2" s="48"/>
      <c r="E2" s="48"/>
      <c r="F2" s="48"/>
      <c r="G2" s="48"/>
      <c r="H2" s="48"/>
    </row>
    <row r="4" spans="1:28" ht="25.5" x14ac:dyDescent="0.2">
      <c r="A4" s="12" t="s">
        <v>0</v>
      </c>
      <c r="B4" s="12" t="s">
        <v>1</v>
      </c>
      <c r="C4" s="13" t="s">
        <v>2</v>
      </c>
      <c r="D4" s="12" t="s">
        <v>3</v>
      </c>
      <c r="E4" s="12" t="s">
        <v>4</v>
      </c>
      <c r="F4" s="12" t="s">
        <v>5</v>
      </c>
      <c r="G4" s="14" t="s">
        <v>77</v>
      </c>
      <c r="H4" s="14" t="s">
        <v>76</v>
      </c>
      <c r="I4" s="15" t="s">
        <v>82</v>
      </c>
      <c r="J4" s="15" t="s">
        <v>88</v>
      </c>
      <c r="K4" s="15" t="s">
        <v>95</v>
      </c>
      <c r="L4" s="15" t="s">
        <v>110</v>
      </c>
      <c r="M4" s="15" t="s">
        <v>117</v>
      </c>
      <c r="N4" s="15" t="s">
        <v>120</v>
      </c>
      <c r="O4" s="15" t="s">
        <v>128</v>
      </c>
      <c r="P4" s="15" t="s">
        <v>129</v>
      </c>
      <c r="Q4" s="15" t="s">
        <v>100</v>
      </c>
      <c r="R4" s="15" t="s">
        <v>108</v>
      </c>
      <c r="S4" s="15" t="s">
        <v>92</v>
      </c>
      <c r="T4" s="15" t="s">
        <v>93</v>
      </c>
      <c r="U4" s="15" t="s">
        <v>94</v>
      </c>
    </row>
    <row r="5" spans="1:28" x14ac:dyDescent="0.2">
      <c r="A5" s="1">
        <v>1</v>
      </c>
      <c r="B5" s="3" t="s">
        <v>6</v>
      </c>
      <c r="C5" s="5" t="s">
        <v>7</v>
      </c>
      <c r="D5" s="1">
        <v>2</v>
      </c>
      <c r="E5" s="1">
        <v>42</v>
      </c>
      <c r="F5" s="1" t="s">
        <v>8</v>
      </c>
      <c r="G5" s="2">
        <v>452000</v>
      </c>
      <c r="H5" s="4">
        <v>45817</v>
      </c>
      <c r="I5" t="str">
        <f t="shared" ref="I5:I36" si="0">IF(AND(G5&gt;$W$6,OR(B5=$V$6,B5=$V$7,B5=$V$8)),$X$6,IF(AND(G5&gt;=$W$10,G5&lt;=$W$6,OR(B5=$V$6,B5=$V$7,B5=$V$8)),$X$10,$X$13))</f>
        <v>קטנה</v>
      </c>
      <c r="J5" s="21">
        <f t="shared" ref="J5:J36" si="1">(E5*$V$25)+((G5-S5)*T5)+U5</f>
        <v>52540</v>
      </c>
      <c r="K5" s="21" cm="1">
        <f t="array" ref="K5">_xlfn.XLOOKUP(G5,'נתוני עזר'!$F$12:$F$15,_xlfn.XLOOKUP(B5,'נתוני עזר'!$G$11:$M$11,'נתוני עזר'!$G$12:$M$15),,-1)*G5</f>
        <v>13560</v>
      </c>
      <c r="L5" s="41">
        <f t="shared" ref="L5:L36" si="2">IF(D5=$AA$6,DATE(YEAR(H5)+$AA$7,$AA$8,$AA$7),IF(AND(OR(B5=$AB$12,B5=$AB$13),D5=$AA$12),DATE(YEAR(H5)+$AA$14,MONTH(H5)+$AA$15,$AA$16),DATE(YEAR(H5),MONTH(H5)+$AA$18,DAY(H5))))</f>
        <v>46113</v>
      </c>
      <c r="M5" s="45">
        <f>G5*'נתוני עזר'!$G$20</f>
        <v>1627200</v>
      </c>
      <c r="N5" s="45" t="str">
        <f>IF(OR(B5=$W$30,B5=$W$31),O5,IF(B5=$W$35,P5,$W$42))</f>
        <v>הופעה בזאפה</v>
      </c>
      <c r="O5" s="45" t="str">
        <f>IF(E5&lt;=$X$30,$X$31,$X$32)</f>
        <v>הופעה בזאפה</v>
      </c>
      <c r="P5" s="45" t="str">
        <f>IF(D5&lt;$X$35,$W$37,IF(D5&lt;=$X$36,$W$38,$W$39))</f>
        <v>טיסה לקפריסין</v>
      </c>
      <c r="Q5" t="str">
        <f>TEXT(H5,"mmmm")</f>
        <v>יוני</v>
      </c>
      <c r="R5">
        <f>YEAR(H5)</f>
        <v>2025</v>
      </c>
      <c r="S5">
        <f t="shared" ref="S5:S36" si="3">_xlfn.XLOOKUP(G5,$V$18:$V$23,$V$18:$V$23,,-1)</f>
        <v>400000</v>
      </c>
      <c r="T5">
        <f t="shared" ref="T5:T36" si="4">_xlfn.XLOOKUP(G5,$V$18:$V$23,$W$18:$W$23,,-1)</f>
        <v>0.12</v>
      </c>
      <c r="U5">
        <f t="shared" ref="U5:U36" si="5">_xlfn.XLOOKUP(G5,$V$18:$V$23,$X$18:$X$23,,-1)</f>
        <v>40000</v>
      </c>
      <c r="V5" s="16" t="s">
        <v>86</v>
      </c>
      <c r="W5" s="16"/>
      <c r="X5" s="16"/>
      <c r="AA5" s="38" t="s">
        <v>111</v>
      </c>
      <c r="AB5" s="38"/>
    </row>
    <row r="6" spans="1:28" x14ac:dyDescent="0.2">
      <c r="A6" s="1">
        <v>2</v>
      </c>
      <c r="B6" s="3" t="s">
        <v>9</v>
      </c>
      <c r="C6" s="5" t="s">
        <v>10</v>
      </c>
      <c r="D6" s="1">
        <v>5</v>
      </c>
      <c r="E6" s="1">
        <v>150</v>
      </c>
      <c r="F6" s="3" t="s">
        <v>11</v>
      </c>
      <c r="G6" s="2">
        <v>1452000</v>
      </c>
      <c r="H6" s="4">
        <v>45871</v>
      </c>
      <c r="I6" t="str">
        <f t="shared" si="0"/>
        <v>גדולה</v>
      </c>
      <c r="J6" s="21">
        <f t="shared" si="1"/>
        <v>315100</v>
      </c>
      <c r="K6" s="21" cm="1">
        <f t="array" ref="K6">_xlfn.XLOOKUP(G6,'נתוני עזר'!$F$12:$F$15,_xlfn.XLOOKUP(B6,'נתוני עזר'!$G$11:$M$11,'נתוני עזר'!$G$12:$M$15),,-1)*G6</f>
        <v>130680</v>
      </c>
      <c r="L6" s="41">
        <f t="shared" si="2"/>
        <v>46055</v>
      </c>
      <c r="M6" s="45">
        <f>G6*'נתוני עזר'!$G$20</f>
        <v>5227200</v>
      </c>
      <c r="N6" s="45" t="str">
        <f t="shared" ref="N6:N67" si="6">IF(OR(B6=$W$30,B6=$W$31),O6,IF(B6=$W$35,P6,$W$42))</f>
        <v>תלוש לארוחת בוקר זוגית</v>
      </c>
      <c r="O6" s="45" t="str">
        <f t="shared" ref="O6:O67" si="7">IF(E6&lt;=$X$30,$X$31,$X$32)</f>
        <v>תלוש לארוחת בוקר זוגית</v>
      </c>
      <c r="P6" s="45" t="str">
        <f t="shared" ref="P6:P67" si="8">IF(D6&lt;$X$35,$W$37,IF(D6&lt;=$X$36,$W$38,$W$39))</f>
        <v>טיסה לפריז</v>
      </c>
      <c r="Q6" t="str">
        <f t="shared" ref="Q6:Q66" si="9">TEXT(H6,"mmmm")</f>
        <v>אוגוסט</v>
      </c>
      <c r="R6">
        <f t="shared" ref="R6:R66" si="10">YEAR(H6)</f>
        <v>2025</v>
      </c>
      <c r="S6">
        <f t="shared" si="3"/>
        <v>900000</v>
      </c>
      <c r="T6">
        <f t="shared" si="4"/>
        <v>0.3</v>
      </c>
      <c r="U6">
        <f t="shared" si="5"/>
        <v>127000</v>
      </c>
      <c r="V6" s="17" t="s">
        <v>9</v>
      </c>
      <c r="W6" s="16">
        <v>1000000</v>
      </c>
      <c r="X6" s="16" t="s">
        <v>83</v>
      </c>
      <c r="AA6" s="38">
        <v>2</v>
      </c>
      <c r="AB6" s="39"/>
    </row>
    <row r="7" spans="1:28" x14ac:dyDescent="0.2">
      <c r="A7" s="1">
        <v>3</v>
      </c>
      <c r="B7" s="3" t="s">
        <v>12</v>
      </c>
      <c r="C7" s="3" t="s">
        <v>13</v>
      </c>
      <c r="D7" s="1">
        <v>4</v>
      </c>
      <c r="E7" s="1">
        <v>117</v>
      </c>
      <c r="F7" s="3" t="s">
        <v>11</v>
      </c>
      <c r="G7" s="2">
        <v>924000</v>
      </c>
      <c r="H7" s="4">
        <v>45701</v>
      </c>
      <c r="I7" t="str">
        <f t="shared" si="0"/>
        <v>בינונית</v>
      </c>
      <c r="J7" s="21">
        <f t="shared" si="1"/>
        <v>151750</v>
      </c>
      <c r="K7" s="21" cm="1">
        <f t="array" ref="K7">_xlfn.XLOOKUP(G7,'נתוני עזר'!$F$12:$F$15,_xlfn.XLOOKUP(B7,'נתוני עזר'!$G$11:$M$11,'נתוני עזר'!$G$12:$M$15),,-1)*G7</f>
        <v>27720</v>
      </c>
      <c r="L7" s="41">
        <f t="shared" si="2"/>
        <v>45882</v>
      </c>
      <c r="M7" s="45">
        <f>G7*'נתוני עזר'!$G$20</f>
        <v>3326400</v>
      </c>
      <c r="N7" s="45" t="str">
        <f t="shared" si="6"/>
        <v>לא זכאי להטבה</v>
      </c>
      <c r="O7" s="45" t="str">
        <f t="shared" si="7"/>
        <v>תלוש לארוחת בוקר זוגית</v>
      </c>
      <c r="P7" s="45" t="str">
        <f t="shared" si="8"/>
        <v>טיסה ללונדון</v>
      </c>
      <c r="Q7" t="str">
        <f t="shared" si="9"/>
        <v>פברואר</v>
      </c>
      <c r="R7">
        <f t="shared" si="10"/>
        <v>2025</v>
      </c>
      <c r="S7">
        <f t="shared" si="3"/>
        <v>900000</v>
      </c>
      <c r="T7">
        <f t="shared" si="4"/>
        <v>0.3</v>
      </c>
      <c r="U7">
        <f t="shared" si="5"/>
        <v>127000</v>
      </c>
      <c r="V7" s="17" t="s">
        <v>12</v>
      </c>
      <c r="W7" s="16"/>
      <c r="X7" s="16"/>
      <c r="AA7" s="38">
        <v>1</v>
      </c>
      <c r="AB7" s="38"/>
    </row>
    <row r="8" spans="1:28" x14ac:dyDescent="0.2">
      <c r="A8" s="1">
        <v>4</v>
      </c>
      <c r="B8" s="3" t="s">
        <v>6</v>
      </c>
      <c r="C8" s="5" t="s">
        <v>14</v>
      </c>
      <c r="D8" s="1">
        <v>2.5</v>
      </c>
      <c r="E8" s="1">
        <v>50</v>
      </c>
      <c r="F8" s="3" t="s">
        <v>11</v>
      </c>
      <c r="G8" s="2">
        <v>368000</v>
      </c>
      <c r="H8" s="4">
        <v>45761</v>
      </c>
      <c r="I8" t="str">
        <f t="shared" si="0"/>
        <v>קטנה</v>
      </c>
      <c r="J8" s="21">
        <f t="shared" si="1"/>
        <v>44300</v>
      </c>
      <c r="K8" s="21" cm="1">
        <f t="array" ref="K8">_xlfn.XLOOKUP(G8,'נתוני עזר'!$F$12:$F$15,_xlfn.XLOOKUP(B8,'נתוני עזר'!$G$11:$M$11,'נתוני עזר'!$G$12:$M$15),,-1)*G8</f>
        <v>7360</v>
      </c>
      <c r="L8" s="41">
        <f t="shared" si="2"/>
        <v>45944</v>
      </c>
      <c r="M8" s="45">
        <f>G8*'נתוני עזר'!$G$20</f>
        <v>1324800</v>
      </c>
      <c r="N8" s="45" t="str">
        <f t="shared" si="6"/>
        <v>תלוש לארוחת בוקר זוגית</v>
      </c>
      <c r="O8" s="45" t="str">
        <f t="shared" si="7"/>
        <v>תלוש לארוחת בוקר זוגית</v>
      </c>
      <c r="P8" s="45" t="str">
        <f t="shared" si="8"/>
        <v>טיסה לקפריסין</v>
      </c>
      <c r="Q8" t="str">
        <f t="shared" si="9"/>
        <v>אפריל</v>
      </c>
      <c r="R8">
        <f t="shared" si="10"/>
        <v>2025</v>
      </c>
      <c r="S8">
        <f t="shared" si="3"/>
        <v>0</v>
      </c>
      <c r="T8">
        <f t="shared" si="4"/>
        <v>0.1</v>
      </c>
      <c r="U8">
        <f t="shared" si="5"/>
        <v>0</v>
      </c>
      <c r="V8" s="17" t="s">
        <v>20</v>
      </c>
      <c r="W8" s="16"/>
      <c r="X8" s="16"/>
      <c r="AA8" s="38">
        <v>4</v>
      </c>
      <c r="AB8" s="38"/>
    </row>
    <row r="9" spans="1:28" x14ac:dyDescent="0.2">
      <c r="A9" s="1">
        <v>5</v>
      </c>
      <c r="B9" s="3" t="s">
        <v>15</v>
      </c>
      <c r="C9" s="5" t="s">
        <v>16</v>
      </c>
      <c r="D9" s="1">
        <v>3</v>
      </c>
      <c r="E9" s="1">
        <v>75</v>
      </c>
      <c r="F9" s="1" t="s">
        <v>8</v>
      </c>
      <c r="G9" s="2">
        <v>396000</v>
      </c>
      <c r="H9" s="4">
        <v>45808</v>
      </c>
      <c r="I9" t="str">
        <f t="shared" si="0"/>
        <v>קטנה</v>
      </c>
      <c r="J9" s="21">
        <f t="shared" si="1"/>
        <v>50850</v>
      </c>
      <c r="K9" s="21" cm="1">
        <f t="array" ref="K9">_xlfn.XLOOKUP(G9,'נתוני עזר'!$F$12:$F$15,_xlfn.XLOOKUP(B9,'נתוני עזר'!$G$11:$M$11,'נתוני עזר'!$G$12:$M$15),,-1)*G9</f>
        <v>3960</v>
      </c>
      <c r="L9" s="41">
        <f t="shared" si="2"/>
        <v>45992</v>
      </c>
      <c r="M9" s="45">
        <f>G9*'נתוני עזר'!$G$20</f>
        <v>1425600</v>
      </c>
      <c r="N9" s="45" t="str">
        <f t="shared" si="6"/>
        <v>טיסה ללונדון</v>
      </c>
      <c r="O9" s="45" t="str">
        <f t="shared" si="7"/>
        <v>תלוש לארוחת בוקר זוגית</v>
      </c>
      <c r="P9" s="45" t="str">
        <f t="shared" si="8"/>
        <v>טיסה ללונדון</v>
      </c>
      <c r="Q9" t="str">
        <f t="shared" si="9"/>
        <v>מאי</v>
      </c>
      <c r="R9">
        <f t="shared" si="10"/>
        <v>2025</v>
      </c>
      <c r="S9">
        <f t="shared" si="3"/>
        <v>0</v>
      </c>
      <c r="T9">
        <f t="shared" si="4"/>
        <v>0.1</v>
      </c>
      <c r="U9">
        <f t="shared" si="5"/>
        <v>0</v>
      </c>
      <c r="V9" s="18" t="s">
        <v>87</v>
      </c>
      <c r="W9" s="16"/>
      <c r="X9" s="16"/>
      <c r="AA9" s="38"/>
      <c r="AB9" s="38"/>
    </row>
    <row r="10" spans="1:28" x14ac:dyDescent="0.2">
      <c r="A10" s="1">
        <v>6</v>
      </c>
      <c r="B10" s="3" t="s">
        <v>17</v>
      </c>
      <c r="C10" s="5" t="s">
        <v>18</v>
      </c>
      <c r="D10" s="1">
        <v>4.5</v>
      </c>
      <c r="E10" s="1">
        <v>124</v>
      </c>
      <c r="F10" s="3" t="s">
        <v>11</v>
      </c>
      <c r="G10" s="2">
        <v>990000</v>
      </c>
      <c r="H10" s="4">
        <v>45771</v>
      </c>
      <c r="I10" t="str">
        <f t="shared" si="0"/>
        <v>קטנה</v>
      </c>
      <c r="J10" s="21">
        <f t="shared" si="1"/>
        <v>172600</v>
      </c>
      <c r="K10" s="21" cm="1">
        <f t="array" ref="K10">_xlfn.XLOOKUP(G10,'נתוני עזר'!$F$12:$F$15,_xlfn.XLOOKUP(B10,'נתוני עזר'!$G$11:$M$11,'נתוני עזר'!$G$12:$M$15),,-1)*G10</f>
        <v>49500</v>
      </c>
      <c r="L10" s="41">
        <f t="shared" si="2"/>
        <v>45954</v>
      </c>
      <c r="M10" s="45">
        <f>G10*'נתוני עזר'!$G$20</f>
        <v>3564000</v>
      </c>
      <c r="N10" s="45" t="str">
        <f t="shared" si="6"/>
        <v>לא זכאי להטבה</v>
      </c>
      <c r="O10" s="45" t="str">
        <f t="shared" si="7"/>
        <v>תלוש לארוחת בוקר זוגית</v>
      </c>
      <c r="P10" s="45" t="str">
        <f t="shared" si="8"/>
        <v>טיסה ללונדון</v>
      </c>
      <c r="Q10" t="str">
        <f t="shared" si="9"/>
        <v>אפריל</v>
      </c>
      <c r="R10">
        <f t="shared" si="10"/>
        <v>2025</v>
      </c>
      <c r="S10">
        <f t="shared" si="3"/>
        <v>900000</v>
      </c>
      <c r="T10">
        <f t="shared" si="4"/>
        <v>0.3</v>
      </c>
      <c r="U10">
        <f t="shared" si="5"/>
        <v>127000</v>
      </c>
      <c r="V10" s="16"/>
      <c r="W10" s="16">
        <v>700000</v>
      </c>
      <c r="X10" s="16" t="s">
        <v>84</v>
      </c>
      <c r="AA10" s="38">
        <v>6</v>
      </c>
      <c r="AB10" s="38"/>
    </row>
    <row r="11" spans="1:28" x14ac:dyDescent="0.2">
      <c r="A11" s="1">
        <v>7</v>
      </c>
      <c r="B11" s="3" t="s">
        <v>12</v>
      </c>
      <c r="C11" s="5" t="s">
        <v>19</v>
      </c>
      <c r="D11" s="1">
        <v>2</v>
      </c>
      <c r="E11" s="1">
        <v>40</v>
      </c>
      <c r="F11" s="3" t="s">
        <v>11</v>
      </c>
      <c r="G11" s="2">
        <v>468000</v>
      </c>
      <c r="H11" s="4">
        <v>45734</v>
      </c>
      <c r="I11" t="str">
        <f t="shared" si="0"/>
        <v>קטנה</v>
      </c>
      <c r="J11" s="21">
        <f t="shared" si="1"/>
        <v>54160</v>
      </c>
      <c r="K11" s="21" cm="1">
        <f t="array" ref="K11">_xlfn.XLOOKUP(G11,'נתוני עזר'!$F$12:$F$15,_xlfn.XLOOKUP(B11,'נתוני עזר'!$G$11:$M$11,'נתוני עזר'!$G$12:$M$15),,-1)*G11</f>
        <v>14040</v>
      </c>
      <c r="L11" s="41">
        <f t="shared" si="2"/>
        <v>46113</v>
      </c>
      <c r="M11" s="45">
        <f>G11*'נתוני עזר'!$G$20</f>
        <v>1684800</v>
      </c>
      <c r="N11" s="45" t="str">
        <f t="shared" si="6"/>
        <v>לא זכאי להטבה</v>
      </c>
      <c r="O11" s="45" t="str">
        <f t="shared" si="7"/>
        <v>הופעה בזאפה</v>
      </c>
      <c r="P11" s="45" t="str">
        <f t="shared" si="8"/>
        <v>טיסה לקפריסין</v>
      </c>
      <c r="Q11" t="str">
        <f t="shared" si="9"/>
        <v>מרץ</v>
      </c>
      <c r="R11">
        <f t="shared" si="10"/>
        <v>2025</v>
      </c>
      <c r="S11">
        <f t="shared" si="3"/>
        <v>400000</v>
      </c>
      <c r="T11">
        <f t="shared" si="4"/>
        <v>0.12</v>
      </c>
      <c r="U11">
        <f t="shared" si="5"/>
        <v>40000</v>
      </c>
      <c r="V11" s="16"/>
      <c r="W11" s="16"/>
      <c r="X11" s="16"/>
      <c r="AA11" s="38" t="s">
        <v>87</v>
      </c>
      <c r="AB11" s="38"/>
    </row>
    <row r="12" spans="1:28" x14ac:dyDescent="0.2">
      <c r="A12" s="1">
        <v>8</v>
      </c>
      <c r="B12" s="3" t="s">
        <v>20</v>
      </c>
      <c r="C12" s="5" t="s">
        <v>21</v>
      </c>
      <c r="D12" s="1">
        <v>4</v>
      </c>
      <c r="E12" s="1">
        <v>100</v>
      </c>
      <c r="F12" s="3" t="s">
        <v>11</v>
      </c>
      <c r="G12" s="2">
        <v>726000</v>
      </c>
      <c r="H12" s="4">
        <v>45814</v>
      </c>
      <c r="I12" t="str">
        <f t="shared" si="0"/>
        <v>בינונית</v>
      </c>
      <c r="J12" s="21">
        <f t="shared" si="1"/>
        <v>104700</v>
      </c>
      <c r="K12" s="21" cm="1">
        <f t="array" ref="K12">_xlfn.XLOOKUP(G12,'נתוני עזר'!$F$12:$F$15,_xlfn.XLOOKUP(B12,'נתוני עזר'!$G$11:$M$11,'נתוני עזר'!$G$12:$M$15),,-1)*G12</f>
        <v>43560</v>
      </c>
      <c r="L12" s="41">
        <f t="shared" si="2"/>
        <v>45997</v>
      </c>
      <c r="M12" s="45">
        <f>G12*'נתוני עזר'!$G$20</f>
        <v>2613600</v>
      </c>
      <c r="N12" s="45" t="str">
        <f t="shared" si="6"/>
        <v>לא זכאי להטבה</v>
      </c>
      <c r="O12" s="45" t="str">
        <f t="shared" si="7"/>
        <v>תלוש לארוחת בוקר זוגית</v>
      </c>
      <c r="P12" s="45" t="str">
        <f t="shared" si="8"/>
        <v>טיסה ללונדון</v>
      </c>
      <c r="Q12" t="str">
        <f t="shared" si="9"/>
        <v>יוני</v>
      </c>
      <c r="R12">
        <f t="shared" si="10"/>
        <v>2025</v>
      </c>
      <c r="S12">
        <f t="shared" si="3"/>
        <v>650000</v>
      </c>
      <c r="T12">
        <f t="shared" si="4"/>
        <v>0.2</v>
      </c>
      <c r="U12">
        <f t="shared" si="5"/>
        <v>74500</v>
      </c>
      <c r="V12" s="16"/>
      <c r="W12" s="16"/>
      <c r="X12" s="16"/>
      <c r="AA12" s="38">
        <v>6</v>
      </c>
      <c r="AB12" s="39" t="s">
        <v>17</v>
      </c>
    </row>
    <row r="13" spans="1:28" x14ac:dyDescent="0.2">
      <c r="A13" s="1">
        <v>9</v>
      </c>
      <c r="B13" s="3" t="s">
        <v>22</v>
      </c>
      <c r="C13" s="5" t="s">
        <v>23</v>
      </c>
      <c r="D13" s="1">
        <v>2</v>
      </c>
      <c r="E13" s="1">
        <v>38</v>
      </c>
      <c r="F13" s="3" t="s">
        <v>11</v>
      </c>
      <c r="G13" s="2">
        <v>512000</v>
      </c>
      <c r="H13" s="4">
        <v>46005</v>
      </c>
      <c r="I13" t="str">
        <f t="shared" si="0"/>
        <v>קטנה</v>
      </c>
      <c r="J13" s="21">
        <f t="shared" si="1"/>
        <v>59500</v>
      </c>
      <c r="K13" s="21" cm="1">
        <f t="array" ref="K13">_xlfn.XLOOKUP(G13,'נתוני עזר'!$F$12:$F$15,_xlfn.XLOOKUP(B13,'נתוני עזר'!$G$11:$M$11,'נתוני עזר'!$G$12:$M$15),,-1)*G13</f>
        <v>25600</v>
      </c>
      <c r="L13" s="41">
        <f t="shared" si="2"/>
        <v>46113</v>
      </c>
      <c r="M13" s="45">
        <f>G13*'נתוני עזר'!$G$20</f>
        <v>1843200</v>
      </c>
      <c r="N13" s="45" t="str">
        <f t="shared" si="6"/>
        <v>לא זכאי להטבה</v>
      </c>
      <c r="O13" s="45" t="str">
        <f t="shared" si="7"/>
        <v>הופעה בזאפה</v>
      </c>
      <c r="P13" s="45" t="str">
        <f t="shared" si="8"/>
        <v>טיסה לקפריסין</v>
      </c>
      <c r="Q13" t="str">
        <f t="shared" si="9"/>
        <v>דצמבר</v>
      </c>
      <c r="R13">
        <f t="shared" si="10"/>
        <v>2025</v>
      </c>
      <c r="S13">
        <f t="shared" si="3"/>
        <v>500000</v>
      </c>
      <c r="T13">
        <f t="shared" si="4"/>
        <v>0.15</v>
      </c>
      <c r="U13">
        <f t="shared" si="5"/>
        <v>52000</v>
      </c>
      <c r="V13" s="16"/>
      <c r="W13" s="16"/>
      <c r="X13" s="16" t="s">
        <v>85</v>
      </c>
      <c r="AA13" s="38"/>
      <c r="AB13" s="39" t="s">
        <v>22</v>
      </c>
    </row>
    <row r="14" spans="1:28" x14ac:dyDescent="0.2">
      <c r="A14" s="1">
        <v>10</v>
      </c>
      <c r="B14" s="3" t="s">
        <v>6</v>
      </c>
      <c r="C14" s="5" t="s">
        <v>24</v>
      </c>
      <c r="D14" s="1">
        <v>6</v>
      </c>
      <c r="E14" s="1">
        <v>73</v>
      </c>
      <c r="F14" s="3" t="s">
        <v>11</v>
      </c>
      <c r="G14" s="2">
        <v>1332000</v>
      </c>
      <c r="H14" s="4">
        <v>45670</v>
      </c>
      <c r="I14" t="str">
        <f t="shared" si="0"/>
        <v>קטנה</v>
      </c>
      <c r="J14" s="21">
        <f t="shared" si="1"/>
        <v>267550</v>
      </c>
      <c r="K14" s="21" cm="1">
        <f t="array" ref="K14">_xlfn.XLOOKUP(G14,'נתוני עזר'!$F$12:$F$15,_xlfn.XLOOKUP(B14,'נתוני עזר'!$G$11:$M$11,'נתוני עזר'!$G$12:$M$15),,-1)*G14</f>
        <v>119880</v>
      </c>
      <c r="L14" s="41">
        <f t="shared" si="2"/>
        <v>45851</v>
      </c>
      <c r="M14" s="45">
        <f>G14*'נתוני עזר'!$G$20</f>
        <v>4795200</v>
      </c>
      <c r="N14" s="45" t="str">
        <f t="shared" si="6"/>
        <v>תלוש לארוחת בוקר זוגית</v>
      </c>
      <c r="O14" s="45" t="str">
        <f t="shared" si="7"/>
        <v>תלוש לארוחת בוקר זוגית</v>
      </c>
      <c r="P14" s="45" t="str">
        <f t="shared" si="8"/>
        <v>טיסה לפריז</v>
      </c>
      <c r="Q14" t="str">
        <f t="shared" si="9"/>
        <v>ינואר</v>
      </c>
      <c r="R14">
        <f t="shared" si="10"/>
        <v>2025</v>
      </c>
      <c r="S14">
        <f t="shared" si="3"/>
        <v>900000</v>
      </c>
      <c r="T14">
        <f t="shared" si="4"/>
        <v>0.3</v>
      </c>
      <c r="U14">
        <f t="shared" si="5"/>
        <v>127000</v>
      </c>
      <c r="AA14" s="38">
        <v>2</v>
      </c>
      <c r="AB14" s="38"/>
    </row>
    <row r="15" spans="1:28" x14ac:dyDescent="0.2">
      <c r="A15" s="1">
        <v>11</v>
      </c>
      <c r="B15" s="3" t="s">
        <v>6</v>
      </c>
      <c r="C15" s="5" t="s">
        <v>25</v>
      </c>
      <c r="D15" s="1">
        <v>5</v>
      </c>
      <c r="E15" s="1">
        <v>155</v>
      </c>
      <c r="F15" s="3" t="s">
        <v>11</v>
      </c>
      <c r="G15" s="2">
        <v>540000</v>
      </c>
      <c r="H15" s="4">
        <v>45763</v>
      </c>
      <c r="I15" t="str">
        <f t="shared" si="0"/>
        <v>קטנה</v>
      </c>
      <c r="J15" s="21">
        <f t="shared" si="1"/>
        <v>81250</v>
      </c>
      <c r="K15" s="21" cm="1">
        <f t="array" ref="K15">_xlfn.XLOOKUP(G15,'נתוני עזר'!$F$12:$F$15,_xlfn.XLOOKUP(B15,'נתוני עזר'!$G$11:$M$11,'נתוני עזר'!$G$12:$M$15),,-1)*G15</f>
        <v>16200</v>
      </c>
      <c r="L15" s="41">
        <f t="shared" si="2"/>
        <v>45946</v>
      </c>
      <c r="M15" s="45">
        <f>G15*'נתוני עזר'!$G$20</f>
        <v>1944000</v>
      </c>
      <c r="N15" s="45" t="str">
        <f t="shared" si="6"/>
        <v>תלוש לארוחת בוקר זוגית</v>
      </c>
      <c r="O15" s="45" t="str">
        <f t="shared" si="7"/>
        <v>תלוש לארוחת בוקר זוגית</v>
      </c>
      <c r="P15" s="45" t="str">
        <f t="shared" si="8"/>
        <v>טיסה לפריז</v>
      </c>
      <c r="Q15" t="str">
        <f t="shared" si="9"/>
        <v>אפריל</v>
      </c>
      <c r="R15">
        <f t="shared" si="10"/>
        <v>2025</v>
      </c>
      <c r="S15">
        <f t="shared" si="3"/>
        <v>500000</v>
      </c>
      <c r="T15">
        <f t="shared" si="4"/>
        <v>0.15</v>
      </c>
      <c r="U15">
        <f t="shared" si="5"/>
        <v>52000</v>
      </c>
      <c r="AA15" s="38">
        <v>1</v>
      </c>
      <c r="AB15" s="38"/>
    </row>
    <row r="16" spans="1:28" x14ac:dyDescent="0.2">
      <c r="A16" s="1">
        <v>12</v>
      </c>
      <c r="B16" s="3" t="s">
        <v>20</v>
      </c>
      <c r="C16" s="5" t="s">
        <v>26</v>
      </c>
      <c r="D16" s="1">
        <v>2</v>
      </c>
      <c r="E16" s="1">
        <v>32</v>
      </c>
      <c r="F16" s="3" t="s">
        <v>11</v>
      </c>
      <c r="G16" s="2">
        <v>441236</v>
      </c>
      <c r="H16" s="4">
        <v>45912</v>
      </c>
      <c r="I16" t="str">
        <f t="shared" si="0"/>
        <v>קטנה</v>
      </c>
      <c r="J16" s="21">
        <f t="shared" si="1"/>
        <v>49748.32</v>
      </c>
      <c r="K16" s="21" cm="1">
        <f t="array" ref="K16">_xlfn.XLOOKUP(G16,'נתוני עזר'!$F$12:$F$15,_xlfn.XLOOKUP(B16,'נתוני עזר'!$G$11:$M$11,'נתוני עזר'!$G$12:$M$15),,-1)*G16</f>
        <v>8824.7199999999993</v>
      </c>
      <c r="L16" s="41">
        <f t="shared" si="2"/>
        <v>46113</v>
      </c>
      <c r="M16" s="45">
        <f>G16*'נתוני עזר'!$G$20</f>
        <v>1588449.6</v>
      </c>
      <c r="N16" s="45" t="str">
        <f t="shared" si="6"/>
        <v>לא זכאי להטבה</v>
      </c>
      <c r="O16" s="45" t="str">
        <f t="shared" si="7"/>
        <v>הופעה בזאפה</v>
      </c>
      <c r="P16" s="45" t="str">
        <f t="shared" si="8"/>
        <v>טיסה לקפריסין</v>
      </c>
      <c r="Q16" t="str">
        <f t="shared" si="9"/>
        <v>ספטמבר</v>
      </c>
      <c r="R16">
        <f t="shared" si="10"/>
        <v>2025</v>
      </c>
      <c r="S16">
        <f t="shared" si="3"/>
        <v>400000</v>
      </c>
      <c r="T16">
        <f t="shared" si="4"/>
        <v>0.12</v>
      </c>
      <c r="U16">
        <f t="shared" si="5"/>
        <v>40000</v>
      </c>
      <c r="AA16" s="38">
        <v>0</v>
      </c>
      <c r="AB16" s="38"/>
    </row>
    <row r="17" spans="1:30" x14ac:dyDescent="0.2">
      <c r="A17" s="1">
        <v>13</v>
      </c>
      <c r="B17" s="3" t="s">
        <v>17</v>
      </c>
      <c r="C17" s="5" t="s">
        <v>27</v>
      </c>
      <c r="D17" s="1">
        <v>2.5</v>
      </c>
      <c r="E17" s="1">
        <v>50</v>
      </c>
      <c r="F17" s="1" t="s">
        <v>8</v>
      </c>
      <c r="G17" s="2">
        <v>380000</v>
      </c>
      <c r="H17" s="4">
        <v>45978</v>
      </c>
      <c r="I17" t="str">
        <f t="shared" si="0"/>
        <v>קטנה</v>
      </c>
      <c r="J17" s="21">
        <f t="shared" si="1"/>
        <v>45500</v>
      </c>
      <c r="K17" s="21" cm="1">
        <f t="array" ref="K17">_xlfn.XLOOKUP(G17,'נתוני עזר'!$F$12:$F$15,_xlfn.XLOOKUP(B17,'נתוני עזר'!$G$11:$M$11,'נתוני עזר'!$G$12:$M$15),,-1)*G17</f>
        <v>7600</v>
      </c>
      <c r="L17" s="41">
        <f t="shared" si="2"/>
        <v>46159</v>
      </c>
      <c r="M17" s="45">
        <f>G17*'נתוני עזר'!$G$20</f>
        <v>1368000</v>
      </c>
      <c r="N17" s="45" t="str">
        <f t="shared" si="6"/>
        <v>לא זכאי להטבה</v>
      </c>
      <c r="O17" s="45" t="str">
        <f t="shared" si="7"/>
        <v>תלוש לארוחת בוקר זוגית</v>
      </c>
      <c r="P17" s="45" t="str">
        <f t="shared" si="8"/>
        <v>טיסה לקפריסין</v>
      </c>
      <c r="Q17" t="str">
        <f t="shared" si="9"/>
        <v>נובמבר</v>
      </c>
      <c r="R17">
        <f t="shared" si="10"/>
        <v>2025</v>
      </c>
      <c r="S17">
        <f t="shared" si="3"/>
        <v>0</v>
      </c>
      <c r="T17">
        <f t="shared" si="4"/>
        <v>0.1</v>
      </c>
      <c r="U17">
        <f t="shared" si="5"/>
        <v>0</v>
      </c>
      <c r="V17" s="19" t="s">
        <v>89</v>
      </c>
      <c r="W17" s="19" t="s">
        <v>90</v>
      </c>
      <c r="X17" s="19" t="s">
        <v>91</v>
      </c>
      <c r="AA17" s="40" t="s">
        <v>112</v>
      </c>
      <c r="AB17" s="38"/>
    </row>
    <row r="18" spans="1:30" x14ac:dyDescent="0.2">
      <c r="A18" s="1">
        <v>14</v>
      </c>
      <c r="B18" s="3" t="s">
        <v>12</v>
      </c>
      <c r="C18" s="5" t="s">
        <v>28</v>
      </c>
      <c r="D18" s="1">
        <v>2.5</v>
      </c>
      <c r="E18" s="1">
        <v>52</v>
      </c>
      <c r="F18" s="3" t="s">
        <v>11</v>
      </c>
      <c r="G18" s="2">
        <v>606000</v>
      </c>
      <c r="H18" s="4">
        <v>45776</v>
      </c>
      <c r="I18" t="str">
        <f t="shared" si="0"/>
        <v>קטנה</v>
      </c>
      <c r="J18" s="21">
        <f t="shared" si="1"/>
        <v>75700</v>
      </c>
      <c r="K18" s="21" cm="1">
        <f t="array" ref="K18">_xlfn.XLOOKUP(G18,'נתוני עזר'!$F$12:$F$15,_xlfn.XLOOKUP(B18,'נתוני עזר'!$G$11:$M$11,'נתוני עזר'!$G$12:$M$15),,-1)*G18</f>
        <v>18180</v>
      </c>
      <c r="L18" s="41">
        <f t="shared" si="2"/>
        <v>45959</v>
      </c>
      <c r="M18" s="45">
        <f>G18*'נתוני עזר'!$G$20</f>
        <v>2181600</v>
      </c>
      <c r="N18" s="45" t="str">
        <f t="shared" si="6"/>
        <v>לא זכאי להטבה</v>
      </c>
      <c r="O18" s="45" t="str">
        <f t="shared" si="7"/>
        <v>תלוש לארוחת בוקר זוגית</v>
      </c>
      <c r="P18" s="45" t="str">
        <f t="shared" si="8"/>
        <v>טיסה לקפריסין</v>
      </c>
      <c r="Q18" t="str">
        <f t="shared" si="9"/>
        <v>אפריל</v>
      </c>
      <c r="R18">
        <f t="shared" si="10"/>
        <v>2025</v>
      </c>
      <c r="S18">
        <f t="shared" si="3"/>
        <v>500000</v>
      </c>
      <c r="T18">
        <f t="shared" si="4"/>
        <v>0.15</v>
      </c>
      <c r="U18">
        <f t="shared" si="5"/>
        <v>52000</v>
      </c>
      <c r="V18" s="19">
        <v>0</v>
      </c>
      <c r="W18" s="20">
        <v>0.1</v>
      </c>
      <c r="X18" s="19">
        <f>V18*W18</f>
        <v>0</v>
      </c>
      <c r="AA18" s="38">
        <v>6</v>
      </c>
      <c r="AB18" s="38"/>
    </row>
    <row r="19" spans="1:30" x14ac:dyDescent="0.2">
      <c r="A19" s="1">
        <v>15</v>
      </c>
      <c r="B19" s="3" t="s">
        <v>9</v>
      </c>
      <c r="C19" s="5" t="s">
        <v>29</v>
      </c>
      <c r="D19" s="1">
        <v>6</v>
      </c>
      <c r="E19" s="1">
        <v>90</v>
      </c>
      <c r="F19" s="3" t="s">
        <v>11</v>
      </c>
      <c r="G19" s="2">
        <v>1278000</v>
      </c>
      <c r="H19" s="4">
        <v>45820</v>
      </c>
      <c r="I19" t="str">
        <f t="shared" si="0"/>
        <v>גדולה</v>
      </c>
      <c r="J19" s="21">
        <f t="shared" si="1"/>
        <v>253900</v>
      </c>
      <c r="K19" s="21" cm="1">
        <f t="array" ref="K19">_xlfn.XLOOKUP(G19,'נתוני עזר'!$F$12:$F$15,_xlfn.XLOOKUP(B19,'נתוני עזר'!$G$11:$M$11,'נתוני עזר'!$G$12:$M$15),,-1)*G19</f>
        <v>115020</v>
      </c>
      <c r="L19" s="41">
        <f t="shared" si="2"/>
        <v>46003</v>
      </c>
      <c r="M19" s="45">
        <f>G19*'נתוני עזר'!$G$20</f>
        <v>4600800</v>
      </c>
      <c r="N19" s="45" t="str">
        <f t="shared" si="6"/>
        <v>תלוש לארוחת בוקר זוגית</v>
      </c>
      <c r="O19" s="45" t="str">
        <f t="shared" si="7"/>
        <v>תלוש לארוחת בוקר זוגית</v>
      </c>
      <c r="P19" s="45" t="str">
        <f t="shared" si="8"/>
        <v>טיסה לפריז</v>
      </c>
      <c r="Q19" t="str">
        <f t="shared" si="9"/>
        <v>יוני</v>
      </c>
      <c r="R19">
        <f t="shared" si="10"/>
        <v>2025</v>
      </c>
      <c r="S19">
        <f t="shared" si="3"/>
        <v>900000</v>
      </c>
      <c r="T19">
        <f t="shared" si="4"/>
        <v>0.3</v>
      </c>
      <c r="U19">
        <f t="shared" si="5"/>
        <v>127000</v>
      </c>
      <c r="V19" s="19">
        <v>400000</v>
      </c>
      <c r="W19" s="20">
        <v>0.12</v>
      </c>
      <c r="X19" s="19">
        <f>((V19-V18)*W18)+X18</f>
        <v>40000</v>
      </c>
    </row>
    <row r="20" spans="1:30" x14ac:dyDescent="0.2">
      <c r="A20" s="1">
        <v>16</v>
      </c>
      <c r="B20" s="3" t="s">
        <v>17</v>
      </c>
      <c r="C20" s="5" t="s">
        <v>30</v>
      </c>
      <c r="D20" s="1">
        <v>3.5</v>
      </c>
      <c r="E20" s="1">
        <v>82</v>
      </c>
      <c r="F20" s="3" t="s">
        <v>11</v>
      </c>
      <c r="G20" s="2">
        <v>420000</v>
      </c>
      <c r="H20" s="4">
        <v>45798</v>
      </c>
      <c r="I20" t="str">
        <f t="shared" si="0"/>
        <v>קטנה</v>
      </c>
      <c r="J20" s="21">
        <f t="shared" si="1"/>
        <v>54700</v>
      </c>
      <c r="K20" s="21" cm="1">
        <f t="array" ref="K20">_xlfn.XLOOKUP(G20,'נתוני עזר'!$F$12:$F$15,_xlfn.XLOOKUP(B20,'נתוני עזר'!$G$11:$M$11,'נתוני עזר'!$G$12:$M$15),,-1)*G20</f>
        <v>8400</v>
      </c>
      <c r="L20" s="41">
        <f t="shared" si="2"/>
        <v>45982</v>
      </c>
      <c r="M20" s="45">
        <f>G20*'נתוני עזר'!$G$20</f>
        <v>1512000</v>
      </c>
      <c r="N20" s="45" t="str">
        <f t="shared" si="6"/>
        <v>לא זכאי להטבה</v>
      </c>
      <c r="O20" s="45" t="str">
        <f t="shared" si="7"/>
        <v>תלוש לארוחת בוקר זוגית</v>
      </c>
      <c r="P20" s="45" t="str">
        <f t="shared" si="8"/>
        <v>טיסה ללונדון</v>
      </c>
      <c r="Q20" t="str">
        <f t="shared" si="9"/>
        <v>מאי</v>
      </c>
      <c r="R20">
        <f t="shared" si="10"/>
        <v>2025</v>
      </c>
      <c r="S20">
        <f t="shared" si="3"/>
        <v>400000</v>
      </c>
      <c r="T20">
        <f t="shared" si="4"/>
        <v>0.12</v>
      </c>
      <c r="U20">
        <f t="shared" si="5"/>
        <v>40000</v>
      </c>
      <c r="V20" s="19">
        <v>500000</v>
      </c>
      <c r="W20" s="20">
        <v>0.15</v>
      </c>
      <c r="X20" s="19">
        <f t="shared" ref="X20:X23" si="11">((V20-V19)*W19)+X19</f>
        <v>52000</v>
      </c>
    </row>
    <row r="21" spans="1:30" x14ac:dyDescent="0.2">
      <c r="A21" s="1">
        <v>17</v>
      </c>
      <c r="B21" s="3" t="s">
        <v>6</v>
      </c>
      <c r="C21" s="5" t="s">
        <v>31</v>
      </c>
      <c r="D21" s="1">
        <v>3</v>
      </c>
      <c r="E21" s="1">
        <v>68</v>
      </c>
      <c r="F21" s="3" t="s">
        <v>11</v>
      </c>
      <c r="G21" s="2">
        <v>399000</v>
      </c>
      <c r="H21" s="4">
        <v>45879</v>
      </c>
      <c r="I21" t="str">
        <f t="shared" si="0"/>
        <v>קטנה</v>
      </c>
      <c r="J21" s="21">
        <f t="shared" si="1"/>
        <v>50100</v>
      </c>
      <c r="K21" s="21" cm="1">
        <f t="array" ref="K21">_xlfn.XLOOKUP(G21,'נתוני עזר'!$F$12:$F$15,_xlfn.XLOOKUP(B21,'נתוני עזר'!$G$11:$M$11,'נתוני עזר'!$G$12:$M$15),,-1)*G21</f>
        <v>7980</v>
      </c>
      <c r="L21" s="41">
        <f t="shared" si="2"/>
        <v>46063</v>
      </c>
      <c r="M21" s="45">
        <f>G21*'נתוני עזר'!$G$20</f>
        <v>1436400</v>
      </c>
      <c r="N21" s="45" t="str">
        <f t="shared" si="6"/>
        <v>תלוש לארוחת בוקר זוגית</v>
      </c>
      <c r="O21" s="45" t="str">
        <f t="shared" si="7"/>
        <v>תלוש לארוחת בוקר זוגית</v>
      </c>
      <c r="P21" s="45" t="str">
        <f t="shared" si="8"/>
        <v>טיסה ללונדון</v>
      </c>
      <c r="Q21" t="str">
        <f t="shared" si="9"/>
        <v>אוגוסט</v>
      </c>
      <c r="R21">
        <f t="shared" si="10"/>
        <v>2025</v>
      </c>
      <c r="S21">
        <f t="shared" si="3"/>
        <v>0</v>
      </c>
      <c r="T21">
        <f t="shared" si="4"/>
        <v>0.1</v>
      </c>
      <c r="U21">
        <f t="shared" si="5"/>
        <v>0</v>
      </c>
      <c r="V21" s="19">
        <v>650000</v>
      </c>
      <c r="W21" s="20">
        <v>0.2</v>
      </c>
      <c r="X21" s="19">
        <f t="shared" si="11"/>
        <v>74500</v>
      </c>
    </row>
    <row r="22" spans="1:30" x14ac:dyDescent="0.2">
      <c r="A22" s="1">
        <v>18</v>
      </c>
      <c r="B22" s="3" t="s">
        <v>15</v>
      </c>
      <c r="C22" s="5" t="s">
        <v>32</v>
      </c>
      <c r="D22" s="1">
        <v>2.5</v>
      </c>
      <c r="E22" s="1">
        <v>50</v>
      </c>
      <c r="F22" s="3" t="s">
        <v>11</v>
      </c>
      <c r="G22" s="2">
        <v>894000</v>
      </c>
      <c r="H22" s="4">
        <v>45663</v>
      </c>
      <c r="I22" t="str">
        <f t="shared" si="0"/>
        <v>קטנה</v>
      </c>
      <c r="J22" s="21">
        <f t="shared" si="1"/>
        <v>133000</v>
      </c>
      <c r="K22" s="21" cm="1">
        <f t="array" ref="K22">_xlfn.XLOOKUP(G22,'נתוני עזר'!$F$12:$F$15,_xlfn.XLOOKUP(B22,'נתוני עזר'!$G$11:$M$11,'נתוני עזר'!$G$12:$M$15),,-1)*G22</f>
        <v>44700</v>
      </c>
      <c r="L22" s="41">
        <f t="shared" si="2"/>
        <v>45844</v>
      </c>
      <c r="M22" s="45">
        <f>G22*'נתוני עזר'!$G$20</f>
        <v>3218400</v>
      </c>
      <c r="N22" s="45" t="str">
        <f t="shared" si="6"/>
        <v>טיסה לקפריסין</v>
      </c>
      <c r="O22" s="45" t="str">
        <f t="shared" si="7"/>
        <v>תלוש לארוחת בוקר זוגית</v>
      </c>
      <c r="P22" s="45" t="str">
        <f t="shared" si="8"/>
        <v>טיסה לקפריסין</v>
      </c>
      <c r="Q22" t="str">
        <f t="shared" si="9"/>
        <v>ינואר</v>
      </c>
      <c r="R22">
        <f t="shared" si="10"/>
        <v>2025</v>
      </c>
      <c r="S22">
        <f t="shared" si="3"/>
        <v>850000</v>
      </c>
      <c r="T22">
        <f t="shared" si="4"/>
        <v>0.25</v>
      </c>
      <c r="U22">
        <f t="shared" si="5"/>
        <v>114500</v>
      </c>
      <c r="V22" s="19">
        <v>850000</v>
      </c>
      <c r="W22" s="20">
        <v>0.25</v>
      </c>
      <c r="X22" s="19">
        <f t="shared" si="11"/>
        <v>114500</v>
      </c>
    </row>
    <row r="23" spans="1:30" x14ac:dyDescent="0.2">
      <c r="A23" s="1">
        <v>19</v>
      </c>
      <c r="B23" s="3" t="s">
        <v>12</v>
      </c>
      <c r="C23" s="5" t="s">
        <v>33</v>
      </c>
      <c r="D23" s="1">
        <v>3</v>
      </c>
      <c r="E23" s="1">
        <v>75</v>
      </c>
      <c r="F23" s="3" t="s">
        <v>11</v>
      </c>
      <c r="G23" s="2">
        <v>858000</v>
      </c>
      <c r="H23" s="4">
        <v>45661</v>
      </c>
      <c r="I23" t="str">
        <f t="shared" si="0"/>
        <v>בינונית</v>
      </c>
      <c r="J23" s="21">
        <f t="shared" si="1"/>
        <v>127750</v>
      </c>
      <c r="K23" s="21" cm="1">
        <f t="array" ref="K23">_xlfn.XLOOKUP(G23,'נתוני עזר'!$F$12:$F$15,_xlfn.XLOOKUP(B23,'נתוני עזר'!$G$11:$M$11,'נתוני עזר'!$G$12:$M$15),,-1)*G23</f>
        <v>25740</v>
      </c>
      <c r="L23" s="41">
        <f t="shared" si="2"/>
        <v>45842</v>
      </c>
      <c r="M23" s="45">
        <f>G23*'נתוני עזר'!$G$20</f>
        <v>3088800</v>
      </c>
      <c r="N23" s="45" t="str">
        <f t="shared" si="6"/>
        <v>לא זכאי להטבה</v>
      </c>
      <c r="O23" s="45" t="str">
        <f t="shared" si="7"/>
        <v>תלוש לארוחת בוקר זוגית</v>
      </c>
      <c r="P23" s="45" t="str">
        <f t="shared" si="8"/>
        <v>טיסה ללונדון</v>
      </c>
      <c r="Q23" t="str">
        <f t="shared" si="9"/>
        <v>ינואר</v>
      </c>
      <c r="R23">
        <f t="shared" si="10"/>
        <v>2025</v>
      </c>
      <c r="S23">
        <f t="shared" si="3"/>
        <v>850000</v>
      </c>
      <c r="T23">
        <f t="shared" si="4"/>
        <v>0.25</v>
      </c>
      <c r="U23">
        <f t="shared" si="5"/>
        <v>114500</v>
      </c>
      <c r="V23" s="19">
        <v>900000</v>
      </c>
      <c r="W23" s="20">
        <v>0.3</v>
      </c>
      <c r="X23" s="19">
        <f t="shared" si="11"/>
        <v>127000</v>
      </c>
    </row>
    <row r="24" spans="1:30" ht="25.5" x14ac:dyDescent="0.2">
      <c r="A24" s="1">
        <v>20</v>
      </c>
      <c r="B24" s="3" t="s">
        <v>9</v>
      </c>
      <c r="C24" s="5" t="s">
        <v>34</v>
      </c>
      <c r="D24" s="1">
        <v>3</v>
      </c>
      <c r="E24" s="1">
        <v>68</v>
      </c>
      <c r="F24" s="1" t="s">
        <v>8</v>
      </c>
      <c r="G24" s="2">
        <v>450000</v>
      </c>
      <c r="H24" s="4">
        <v>45677</v>
      </c>
      <c r="I24" t="str">
        <f t="shared" si="0"/>
        <v>קטנה</v>
      </c>
      <c r="J24" s="21">
        <f t="shared" si="1"/>
        <v>56200</v>
      </c>
      <c r="K24" s="21" cm="1">
        <f t="array" ref="K24">_xlfn.XLOOKUP(G24,'נתוני עזר'!$F$12:$F$15,_xlfn.XLOOKUP(B24,'נתוני עזר'!$G$11:$M$11,'נתוני עזר'!$G$12:$M$15),,-1)*G24</f>
        <v>27000</v>
      </c>
      <c r="L24" s="41">
        <f t="shared" si="2"/>
        <v>45858</v>
      </c>
      <c r="M24" s="45">
        <f>G24*'נתוני עזר'!$G$20</f>
        <v>1620000</v>
      </c>
      <c r="N24" s="45" t="str">
        <f t="shared" si="6"/>
        <v>תלוש לארוחת בוקר זוגית</v>
      </c>
      <c r="O24" s="45" t="str">
        <f t="shared" si="7"/>
        <v>תלוש לארוחת בוקר זוגית</v>
      </c>
      <c r="P24" s="45" t="str">
        <f t="shared" si="8"/>
        <v>טיסה ללונדון</v>
      </c>
      <c r="Q24" t="str">
        <f t="shared" si="9"/>
        <v>ינואר</v>
      </c>
      <c r="R24">
        <f t="shared" si="10"/>
        <v>2025</v>
      </c>
      <c r="S24">
        <f t="shared" si="3"/>
        <v>400000</v>
      </c>
      <c r="T24">
        <f t="shared" si="4"/>
        <v>0.12</v>
      </c>
      <c r="U24">
        <f t="shared" si="5"/>
        <v>40000</v>
      </c>
      <c r="V24" s="19"/>
      <c r="W24" s="19"/>
      <c r="X24" s="19"/>
      <c r="Z24" s="24" t="s">
        <v>3</v>
      </c>
      <c r="AA24" s="24" t="s">
        <v>5</v>
      </c>
      <c r="AB24" s="24" t="s">
        <v>1</v>
      </c>
      <c r="AC24" s="24" t="s">
        <v>4</v>
      </c>
      <c r="AD24" s="26"/>
    </row>
    <row r="25" spans="1:30" x14ac:dyDescent="0.2">
      <c r="A25" s="1">
        <v>21</v>
      </c>
      <c r="B25" s="3" t="s">
        <v>6</v>
      </c>
      <c r="C25" s="5" t="s">
        <v>35</v>
      </c>
      <c r="D25" s="1">
        <v>8</v>
      </c>
      <c r="E25" s="1">
        <v>220</v>
      </c>
      <c r="F25" s="3" t="s">
        <v>11</v>
      </c>
      <c r="G25" s="2">
        <v>2660000</v>
      </c>
      <c r="H25" s="4">
        <v>45939</v>
      </c>
      <c r="I25" t="str">
        <f t="shared" si="0"/>
        <v>קטנה</v>
      </c>
      <c r="J25" s="21">
        <f t="shared" si="1"/>
        <v>688000</v>
      </c>
      <c r="K25" s="21" cm="1">
        <f t="array" ref="K25">_xlfn.XLOOKUP(G25,'נתוני עזר'!$F$12:$F$15,_xlfn.XLOOKUP(B25,'נתוני עזר'!$G$11:$M$11,'נתוני עזר'!$G$12:$M$15),,-1)*G25</f>
        <v>239400</v>
      </c>
      <c r="L25" s="41">
        <f t="shared" si="2"/>
        <v>46121</v>
      </c>
      <c r="M25" s="45">
        <f>G25*'נתוני עזר'!$G$20</f>
        <v>9576000</v>
      </c>
      <c r="N25" s="45" t="str">
        <f t="shared" si="6"/>
        <v>תלוש לארוחת בוקר זוגית</v>
      </c>
      <c r="O25" s="45" t="str">
        <f t="shared" si="7"/>
        <v>תלוש לארוחת בוקר זוגית</v>
      </c>
      <c r="P25" s="45" t="str">
        <f t="shared" si="8"/>
        <v>טיסה לפריז</v>
      </c>
      <c r="Q25" t="str">
        <f t="shared" si="9"/>
        <v>אוקטובר</v>
      </c>
      <c r="R25">
        <f t="shared" si="10"/>
        <v>2025</v>
      </c>
      <c r="S25">
        <f t="shared" si="3"/>
        <v>900000</v>
      </c>
      <c r="T25">
        <f t="shared" si="4"/>
        <v>0.3</v>
      </c>
      <c r="U25">
        <f t="shared" si="5"/>
        <v>127000</v>
      </c>
      <c r="V25" s="19">
        <v>150</v>
      </c>
      <c r="W25" s="19"/>
      <c r="X25" s="19"/>
      <c r="Z25" s="16" t="s">
        <v>97</v>
      </c>
      <c r="AA25" s="22" t="s">
        <v>8</v>
      </c>
      <c r="AB25" s="16"/>
      <c r="AC25" s="16"/>
    </row>
    <row r="26" spans="1:30" x14ac:dyDescent="0.2">
      <c r="A26" s="1">
        <v>22</v>
      </c>
      <c r="B26" s="3" t="s">
        <v>20</v>
      </c>
      <c r="C26" s="5" t="s">
        <v>36</v>
      </c>
      <c r="D26" s="1">
        <v>4</v>
      </c>
      <c r="E26" s="1">
        <v>95</v>
      </c>
      <c r="F26" s="3" t="s">
        <v>11</v>
      </c>
      <c r="G26" s="2">
        <v>414000</v>
      </c>
      <c r="H26" s="4">
        <v>45750</v>
      </c>
      <c r="I26" t="str">
        <f t="shared" si="0"/>
        <v>קטנה</v>
      </c>
      <c r="J26" s="21">
        <f t="shared" si="1"/>
        <v>55930</v>
      </c>
      <c r="K26" s="21" cm="1">
        <f t="array" ref="K26">_xlfn.XLOOKUP(G26,'נתוני עזר'!$F$12:$F$15,_xlfn.XLOOKUP(B26,'נתוני עזר'!$G$11:$M$11,'נתוני עזר'!$G$12:$M$15),,-1)*G26</f>
        <v>8280</v>
      </c>
      <c r="L26" s="41">
        <f t="shared" si="2"/>
        <v>45933</v>
      </c>
      <c r="M26" s="45">
        <f>G26*'נתוני עזר'!$G$20</f>
        <v>1490400</v>
      </c>
      <c r="N26" s="45" t="str">
        <f t="shared" si="6"/>
        <v>לא זכאי להטבה</v>
      </c>
      <c r="O26" s="45" t="str">
        <f t="shared" si="7"/>
        <v>תלוש לארוחת בוקר זוגית</v>
      </c>
      <c r="P26" s="45" t="str">
        <f t="shared" si="8"/>
        <v>טיסה ללונדון</v>
      </c>
      <c r="Q26" t="str">
        <f t="shared" si="9"/>
        <v>אפריל</v>
      </c>
      <c r="R26">
        <f t="shared" si="10"/>
        <v>2025</v>
      </c>
      <c r="S26">
        <f t="shared" si="3"/>
        <v>400000</v>
      </c>
      <c r="T26">
        <f t="shared" si="4"/>
        <v>0.12</v>
      </c>
      <c r="U26">
        <f t="shared" si="5"/>
        <v>40000</v>
      </c>
      <c r="Z26" s="16"/>
      <c r="AA26" s="16"/>
      <c r="AB26" s="17" t="s">
        <v>22</v>
      </c>
      <c r="AC26" s="16" t="s">
        <v>98</v>
      </c>
    </row>
    <row r="27" spans="1:30" x14ac:dyDescent="0.2">
      <c r="A27" s="1">
        <v>23</v>
      </c>
      <c r="B27" s="3" t="s">
        <v>22</v>
      </c>
      <c r="C27" s="5" t="s">
        <v>37</v>
      </c>
      <c r="D27" s="1">
        <v>4</v>
      </c>
      <c r="E27" s="1">
        <v>88</v>
      </c>
      <c r="F27" s="3" t="s">
        <v>11</v>
      </c>
      <c r="G27" s="2">
        <v>666000</v>
      </c>
      <c r="H27" s="4">
        <v>45777</v>
      </c>
      <c r="I27" t="str">
        <f t="shared" si="0"/>
        <v>קטנה</v>
      </c>
      <c r="J27" s="21">
        <f t="shared" si="1"/>
        <v>90900</v>
      </c>
      <c r="K27" s="21" cm="1">
        <f t="array" ref="K27">_xlfn.XLOOKUP(G27,'נתוני עזר'!$F$12:$F$15,_xlfn.XLOOKUP(B27,'נתוני עזר'!$G$11:$M$11,'נתוני עזר'!$G$12:$M$15),,-1)*G27</f>
        <v>39960</v>
      </c>
      <c r="L27" s="41">
        <f t="shared" si="2"/>
        <v>45960</v>
      </c>
      <c r="M27" s="45">
        <f>G27*'נתוני עזר'!$G$20</f>
        <v>2397600</v>
      </c>
      <c r="N27" s="45" t="str">
        <f t="shared" si="6"/>
        <v>לא זכאי להטבה</v>
      </c>
      <c r="O27" s="45" t="str">
        <f t="shared" si="7"/>
        <v>תלוש לארוחת בוקר זוגית</v>
      </c>
      <c r="P27" s="45" t="str">
        <f t="shared" si="8"/>
        <v>טיסה ללונדון</v>
      </c>
      <c r="Q27" t="str">
        <f t="shared" si="9"/>
        <v>אפריל</v>
      </c>
      <c r="R27">
        <f t="shared" si="10"/>
        <v>2025</v>
      </c>
      <c r="S27">
        <f t="shared" si="3"/>
        <v>650000</v>
      </c>
      <c r="T27">
        <f t="shared" si="4"/>
        <v>0.2</v>
      </c>
      <c r="U27">
        <f t="shared" si="5"/>
        <v>74500</v>
      </c>
      <c r="Z27" s="16"/>
      <c r="AA27" s="16"/>
      <c r="AB27" s="17" t="s">
        <v>15</v>
      </c>
      <c r="AC27" s="16" t="s">
        <v>98</v>
      </c>
    </row>
    <row r="28" spans="1:30" x14ac:dyDescent="0.2">
      <c r="A28" s="1">
        <v>24</v>
      </c>
      <c r="B28" s="3" t="s">
        <v>15</v>
      </c>
      <c r="C28" s="5" t="s">
        <v>38</v>
      </c>
      <c r="D28" s="1">
        <v>3</v>
      </c>
      <c r="E28" s="1">
        <v>82</v>
      </c>
      <c r="F28" s="3" t="s">
        <v>11</v>
      </c>
      <c r="G28" s="2">
        <v>1290000</v>
      </c>
      <c r="H28" s="4">
        <v>45739</v>
      </c>
      <c r="I28" t="str">
        <f t="shared" si="0"/>
        <v>קטנה</v>
      </c>
      <c r="J28" s="21">
        <f t="shared" si="1"/>
        <v>256300</v>
      </c>
      <c r="K28" s="21" cm="1">
        <f t="array" ref="K28">_xlfn.XLOOKUP(G28,'נתוני עזר'!$F$12:$F$15,_xlfn.XLOOKUP(B28,'נתוני עזר'!$G$11:$M$11,'נתוני עזר'!$G$12:$M$15),,-1)*G28</f>
        <v>77400</v>
      </c>
      <c r="L28" s="41">
        <f t="shared" si="2"/>
        <v>45923</v>
      </c>
      <c r="M28" s="45">
        <f>G28*'נתוני עזר'!$G$20</f>
        <v>4644000</v>
      </c>
      <c r="N28" s="45" t="str">
        <f t="shared" si="6"/>
        <v>טיסה ללונדון</v>
      </c>
      <c r="O28" s="45" t="str">
        <f t="shared" si="7"/>
        <v>תלוש לארוחת בוקר זוגית</v>
      </c>
      <c r="P28" s="45" t="str">
        <f t="shared" si="8"/>
        <v>טיסה ללונדון</v>
      </c>
      <c r="Q28" t="str">
        <f t="shared" si="9"/>
        <v>מרץ</v>
      </c>
      <c r="R28">
        <f t="shared" si="10"/>
        <v>2025</v>
      </c>
      <c r="S28">
        <f t="shared" si="3"/>
        <v>900000</v>
      </c>
      <c r="T28">
        <f t="shared" si="4"/>
        <v>0.3</v>
      </c>
      <c r="U28">
        <f t="shared" si="5"/>
        <v>127000</v>
      </c>
      <c r="W28" s="46" t="s">
        <v>86</v>
      </c>
      <c r="X28" s="46"/>
      <c r="Y28" s="46"/>
      <c r="Z28" s="16"/>
      <c r="AA28" s="16"/>
      <c r="AB28" s="17"/>
      <c r="AC28" s="16"/>
    </row>
    <row r="29" spans="1:30" x14ac:dyDescent="0.2">
      <c r="A29" s="1">
        <v>25</v>
      </c>
      <c r="B29" s="3" t="s">
        <v>15</v>
      </c>
      <c r="C29" s="5" t="s">
        <v>39</v>
      </c>
      <c r="D29" s="1">
        <v>3.5</v>
      </c>
      <c r="E29" s="1">
        <v>90</v>
      </c>
      <c r="F29" s="3" t="s">
        <v>11</v>
      </c>
      <c r="G29" s="2">
        <v>462000</v>
      </c>
      <c r="H29" s="4">
        <v>45703</v>
      </c>
      <c r="I29" t="str">
        <f t="shared" si="0"/>
        <v>קטנה</v>
      </c>
      <c r="J29" s="21">
        <f t="shared" si="1"/>
        <v>60940</v>
      </c>
      <c r="K29" s="21" cm="1">
        <f t="array" ref="K29">_xlfn.XLOOKUP(G29,'נתוני עזר'!$F$12:$F$15,_xlfn.XLOOKUP(B29,'נתוני עזר'!$G$11:$M$11,'נתוני עזר'!$G$12:$M$15),,-1)*G29</f>
        <v>9240</v>
      </c>
      <c r="L29" s="41">
        <f t="shared" si="2"/>
        <v>45884</v>
      </c>
      <c r="M29" s="45">
        <f>G29*'נתוני עזר'!$G$20</f>
        <v>1663200</v>
      </c>
      <c r="N29" s="45" t="str">
        <f t="shared" si="6"/>
        <v>טיסה ללונדון</v>
      </c>
      <c r="O29" s="45" t="str">
        <f t="shared" si="7"/>
        <v>תלוש לארוחת בוקר זוגית</v>
      </c>
      <c r="P29" s="45" t="str">
        <f t="shared" si="8"/>
        <v>טיסה ללונדון</v>
      </c>
      <c r="Q29" t="str">
        <f t="shared" si="9"/>
        <v>פברואר</v>
      </c>
      <c r="R29">
        <f t="shared" si="10"/>
        <v>2025</v>
      </c>
      <c r="S29">
        <f t="shared" si="3"/>
        <v>400000</v>
      </c>
      <c r="T29">
        <f t="shared" si="4"/>
        <v>0.12</v>
      </c>
      <c r="U29">
        <f t="shared" si="5"/>
        <v>40000</v>
      </c>
      <c r="W29" s="46"/>
      <c r="X29" s="46"/>
      <c r="Y29" s="46"/>
      <c r="Z29" s="16"/>
      <c r="AA29" s="16"/>
      <c r="AB29" s="16"/>
      <c r="AC29" s="16"/>
    </row>
    <row r="30" spans="1:30" x14ac:dyDescent="0.2">
      <c r="A30" s="1">
        <v>26</v>
      </c>
      <c r="B30" s="3" t="s">
        <v>12</v>
      </c>
      <c r="C30" s="5" t="s">
        <v>40</v>
      </c>
      <c r="D30" s="1">
        <v>3</v>
      </c>
      <c r="E30" s="1">
        <v>68</v>
      </c>
      <c r="F30" s="3" t="s">
        <v>11</v>
      </c>
      <c r="G30" s="2">
        <v>414000</v>
      </c>
      <c r="H30" s="4">
        <v>45971</v>
      </c>
      <c r="I30" t="str">
        <f t="shared" si="0"/>
        <v>קטנה</v>
      </c>
      <c r="J30" s="21">
        <f t="shared" si="1"/>
        <v>51880</v>
      </c>
      <c r="K30" s="21" cm="1">
        <f t="array" ref="K30">_xlfn.XLOOKUP(G30,'נתוני עזר'!$F$12:$F$15,_xlfn.XLOOKUP(B30,'נתוני עזר'!$G$11:$M$11,'נתוני עזר'!$G$12:$M$15),,-1)*G30</f>
        <v>8280</v>
      </c>
      <c r="L30" s="41">
        <f t="shared" si="2"/>
        <v>46152</v>
      </c>
      <c r="M30" s="45">
        <f>G30*'נתוני עזר'!$G$20</f>
        <v>1490400</v>
      </c>
      <c r="N30" s="45" t="str">
        <f t="shared" si="6"/>
        <v>לא זכאי להטבה</v>
      </c>
      <c r="O30" s="45" t="str">
        <f t="shared" si="7"/>
        <v>תלוש לארוחת בוקר זוגית</v>
      </c>
      <c r="P30" s="45" t="str">
        <f t="shared" si="8"/>
        <v>טיסה ללונדון</v>
      </c>
      <c r="Q30" t="str">
        <f t="shared" si="9"/>
        <v>נובמבר</v>
      </c>
      <c r="R30">
        <f t="shared" si="10"/>
        <v>2025</v>
      </c>
      <c r="S30">
        <f t="shared" si="3"/>
        <v>400000</v>
      </c>
      <c r="T30">
        <f t="shared" si="4"/>
        <v>0.12</v>
      </c>
      <c r="U30">
        <f t="shared" si="5"/>
        <v>40000</v>
      </c>
      <c r="W30" s="47" t="s">
        <v>6</v>
      </c>
      <c r="X30" s="46">
        <v>45</v>
      </c>
      <c r="Y30" s="46"/>
      <c r="Z30" s="16"/>
      <c r="AA30" s="16"/>
      <c r="AB30" s="16" t="s">
        <v>96</v>
      </c>
      <c r="AC30" s="23">
        <f>DSUM(A4:K66,G4,Z24:AC27)</f>
        <v>4890123</v>
      </c>
    </row>
    <row r="31" spans="1:30" x14ac:dyDescent="0.2">
      <c r="A31" s="1">
        <v>27</v>
      </c>
      <c r="B31" s="3" t="s">
        <v>15</v>
      </c>
      <c r="C31" s="5" t="s">
        <v>41</v>
      </c>
      <c r="D31" s="1">
        <v>3</v>
      </c>
      <c r="E31" s="1">
        <v>68</v>
      </c>
      <c r="F31" s="3" t="s">
        <v>11</v>
      </c>
      <c r="G31" s="2">
        <v>1128000</v>
      </c>
      <c r="H31" s="4">
        <v>45943</v>
      </c>
      <c r="I31" t="str">
        <f t="shared" si="0"/>
        <v>קטנה</v>
      </c>
      <c r="J31" s="21">
        <f t="shared" si="1"/>
        <v>205600</v>
      </c>
      <c r="K31" s="21" cm="1">
        <f t="array" ref="K31">_xlfn.XLOOKUP(G31,'נתוני עזר'!$F$12:$F$15,_xlfn.XLOOKUP(B31,'נתוני עזר'!$G$11:$M$11,'נתוני עזר'!$G$12:$M$15),,-1)*G31</f>
        <v>67680</v>
      </c>
      <c r="L31" s="41">
        <f t="shared" si="2"/>
        <v>46125</v>
      </c>
      <c r="M31" s="45">
        <f>G31*'נתוני עזר'!$G$20</f>
        <v>4060800</v>
      </c>
      <c r="N31" s="45" t="str">
        <f t="shared" si="6"/>
        <v>טיסה ללונדון</v>
      </c>
      <c r="O31" s="45" t="str">
        <f t="shared" si="7"/>
        <v>תלוש לארוחת בוקר זוגית</v>
      </c>
      <c r="P31" s="45" t="str">
        <f t="shared" si="8"/>
        <v>טיסה ללונדון</v>
      </c>
      <c r="Q31" t="str">
        <f t="shared" si="9"/>
        <v>אוקטובר</v>
      </c>
      <c r="R31">
        <f t="shared" si="10"/>
        <v>2025</v>
      </c>
      <c r="S31">
        <f t="shared" si="3"/>
        <v>900000</v>
      </c>
      <c r="T31">
        <f t="shared" si="4"/>
        <v>0.3</v>
      </c>
      <c r="U31">
        <f t="shared" si="5"/>
        <v>127000</v>
      </c>
      <c r="W31" s="47" t="s">
        <v>9</v>
      </c>
      <c r="X31" s="46" t="s">
        <v>121</v>
      </c>
      <c r="Y31" s="46"/>
    </row>
    <row r="32" spans="1:30" x14ac:dyDescent="0.2">
      <c r="A32" s="1">
        <v>28</v>
      </c>
      <c r="B32" s="3" t="s">
        <v>17</v>
      </c>
      <c r="C32" s="5" t="s">
        <v>42</v>
      </c>
      <c r="D32" s="1">
        <v>6</v>
      </c>
      <c r="E32" s="1">
        <v>140</v>
      </c>
      <c r="F32" s="3" t="s">
        <v>11</v>
      </c>
      <c r="G32" s="2">
        <v>2460000</v>
      </c>
      <c r="H32" s="4">
        <v>45778</v>
      </c>
      <c r="I32" t="str">
        <f t="shared" si="0"/>
        <v>קטנה</v>
      </c>
      <c r="J32" s="21">
        <f t="shared" si="1"/>
        <v>616000</v>
      </c>
      <c r="K32" s="21" cm="1">
        <f t="array" ref="K32">_xlfn.XLOOKUP(G32,'נתוני עזר'!$F$12:$F$15,_xlfn.XLOOKUP(B32,'נתוני עזר'!$G$11:$M$11,'נתוני עזר'!$G$12:$M$15),,-1)*G32</f>
        <v>172200.00000000003</v>
      </c>
      <c r="L32" s="41">
        <f t="shared" si="2"/>
        <v>46538</v>
      </c>
      <c r="M32" s="45">
        <f>G32*'נתוני עזר'!$G$20</f>
        <v>8856000</v>
      </c>
      <c r="N32" s="45" t="str">
        <f t="shared" si="6"/>
        <v>לא זכאי להטבה</v>
      </c>
      <c r="O32" s="45" t="str">
        <f t="shared" si="7"/>
        <v>תלוש לארוחת בוקר זוגית</v>
      </c>
      <c r="P32" s="45" t="str">
        <f t="shared" si="8"/>
        <v>טיסה לפריז</v>
      </c>
      <c r="Q32" t="str">
        <f t="shared" si="9"/>
        <v>מאי</v>
      </c>
      <c r="R32">
        <f t="shared" si="10"/>
        <v>2025</v>
      </c>
      <c r="S32">
        <f t="shared" si="3"/>
        <v>900000</v>
      </c>
      <c r="T32">
        <f t="shared" si="4"/>
        <v>0.3</v>
      </c>
      <c r="U32">
        <f t="shared" si="5"/>
        <v>127000</v>
      </c>
      <c r="W32" s="46"/>
      <c r="X32" s="46" t="s">
        <v>122</v>
      </c>
      <c r="Y32" s="46"/>
      <c r="AB32" t="s">
        <v>102</v>
      </c>
      <c r="AC32" s="25">
        <f>AVERAGE(G5:G66)</f>
        <v>960441.27419354836</v>
      </c>
    </row>
    <row r="33" spans="1:30" x14ac:dyDescent="0.2">
      <c r="A33" s="1">
        <v>29</v>
      </c>
      <c r="B33" s="3" t="s">
        <v>6</v>
      </c>
      <c r="C33" s="5" t="s">
        <v>43</v>
      </c>
      <c r="D33" s="1">
        <v>7</v>
      </c>
      <c r="E33" s="1">
        <v>180</v>
      </c>
      <c r="F33" s="3" t="s">
        <v>11</v>
      </c>
      <c r="G33" s="2">
        <v>2880000</v>
      </c>
      <c r="H33" s="4">
        <v>45902</v>
      </c>
      <c r="I33" t="str">
        <f t="shared" si="0"/>
        <v>קטנה</v>
      </c>
      <c r="J33" s="21">
        <f t="shared" si="1"/>
        <v>748000</v>
      </c>
      <c r="K33" s="21" cm="1">
        <f t="array" ref="K33">_xlfn.XLOOKUP(G33,'נתוני עזר'!$F$12:$F$15,_xlfn.XLOOKUP(B33,'נתוני עזר'!$G$11:$M$11,'נתוני עזר'!$G$12:$M$15),,-1)*G33</f>
        <v>259200</v>
      </c>
      <c r="L33" s="41">
        <f t="shared" si="2"/>
        <v>46083</v>
      </c>
      <c r="M33" s="45">
        <f>G33*'נתוני עזר'!$G$20</f>
        <v>10368000</v>
      </c>
      <c r="N33" s="45" t="str">
        <f t="shared" si="6"/>
        <v>תלוש לארוחת בוקר זוגית</v>
      </c>
      <c r="O33" s="45" t="str">
        <f t="shared" si="7"/>
        <v>תלוש לארוחת בוקר זוגית</v>
      </c>
      <c r="P33" s="45" t="str">
        <f t="shared" si="8"/>
        <v>טיסה לפריז</v>
      </c>
      <c r="Q33" t="str">
        <f t="shared" si="9"/>
        <v>ספטמבר</v>
      </c>
      <c r="R33">
        <f t="shared" si="10"/>
        <v>2025</v>
      </c>
      <c r="S33">
        <f t="shared" si="3"/>
        <v>900000</v>
      </c>
      <c r="T33">
        <f t="shared" si="4"/>
        <v>0.3</v>
      </c>
      <c r="U33">
        <f t="shared" si="5"/>
        <v>127000</v>
      </c>
      <c r="W33" s="46"/>
      <c r="X33" s="46"/>
      <c r="Y33" s="46"/>
    </row>
    <row r="34" spans="1:30" x14ac:dyDescent="0.2">
      <c r="A34" s="1">
        <v>30</v>
      </c>
      <c r="B34" s="3" t="s">
        <v>17</v>
      </c>
      <c r="C34" s="5" t="s">
        <v>44</v>
      </c>
      <c r="D34" s="1">
        <v>3</v>
      </c>
      <c r="E34" s="1">
        <v>68</v>
      </c>
      <c r="F34" s="3" t="s">
        <v>11</v>
      </c>
      <c r="G34" s="2">
        <v>1470000</v>
      </c>
      <c r="H34" s="4">
        <v>45977</v>
      </c>
      <c r="I34" t="str">
        <f t="shared" si="0"/>
        <v>קטנה</v>
      </c>
      <c r="J34" s="21">
        <f t="shared" si="1"/>
        <v>308200</v>
      </c>
      <c r="K34" s="21" cm="1">
        <f t="array" ref="K34">_xlfn.XLOOKUP(G34,'נתוני עזר'!$F$12:$F$15,_xlfn.XLOOKUP(B34,'נתוני עזר'!$G$11:$M$11,'נתוני עזר'!$G$12:$M$15),,-1)*G34</f>
        <v>102900.00000000001</v>
      </c>
      <c r="L34" s="41">
        <f t="shared" si="2"/>
        <v>46158</v>
      </c>
      <c r="M34" s="45">
        <f>G34*'נתוני עזר'!$G$20</f>
        <v>5292000</v>
      </c>
      <c r="N34" s="45" t="str">
        <f t="shared" si="6"/>
        <v>לא זכאי להטבה</v>
      </c>
      <c r="O34" s="45" t="str">
        <f t="shared" si="7"/>
        <v>תלוש לארוחת בוקר זוגית</v>
      </c>
      <c r="P34" s="45" t="str">
        <f t="shared" si="8"/>
        <v>טיסה ללונדון</v>
      </c>
      <c r="Q34" t="str">
        <f t="shared" si="9"/>
        <v>נובמבר</v>
      </c>
      <c r="R34">
        <f t="shared" si="10"/>
        <v>2025</v>
      </c>
      <c r="S34">
        <f t="shared" si="3"/>
        <v>900000</v>
      </c>
      <c r="T34">
        <f t="shared" si="4"/>
        <v>0.3</v>
      </c>
      <c r="U34">
        <f t="shared" si="5"/>
        <v>127000</v>
      </c>
      <c r="W34" s="46" t="s">
        <v>87</v>
      </c>
      <c r="X34" s="46"/>
      <c r="Y34" s="46"/>
      <c r="Z34" s="32" t="s">
        <v>108</v>
      </c>
      <c r="AA34" s="33" t="s">
        <v>1</v>
      </c>
      <c r="AB34" s="32" t="s">
        <v>100</v>
      </c>
      <c r="AC34" s="34" t="s">
        <v>77</v>
      </c>
    </row>
    <row r="35" spans="1:30" x14ac:dyDescent="0.2">
      <c r="A35" s="1">
        <v>31</v>
      </c>
      <c r="B35" s="3" t="s">
        <v>22</v>
      </c>
      <c r="C35" s="5" t="s">
        <v>45</v>
      </c>
      <c r="D35" s="1">
        <v>2.5</v>
      </c>
      <c r="E35" s="1">
        <v>35</v>
      </c>
      <c r="F35" s="1" t="s">
        <v>8</v>
      </c>
      <c r="G35" s="2">
        <v>352000</v>
      </c>
      <c r="H35" s="4">
        <v>45670</v>
      </c>
      <c r="I35" t="str">
        <f t="shared" si="0"/>
        <v>קטנה</v>
      </c>
      <c r="J35" s="21">
        <f t="shared" si="1"/>
        <v>40450</v>
      </c>
      <c r="K35" s="21" cm="1">
        <f t="array" ref="K35">_xlfn.XLOOKUP(G35,'נתוני עזר'!$F$12:$F$15,_xlfn.XLOOKUP(B35,'נתוני עזר'!$G$11:$M$11,'נתוני עזר'!$G$12:$M$15),,-1)*G35</f>
        <v>10560</v>
      </c>
      <c r="L35" s="41">
        <f t="shared" si="2"/>
        <v>45851</v>
      </c>
      <c r="M35" s="45">
        <f>G35*'נתוני עזר'!$G$20</f>
        <v>1267200</v>
      </c>
      <c r="N35" s="45" t="str">
        <f t="shared" si="6"/>
        <v>לא זכאי להטבה</v>
      </c>
      <c r="O35" s="45" t="str">
        <f t="shared" si="7"/>
        <v>הופעה בזאפה</v>
      </c>
      <c r="P35" s="45" t="str">
        <f t="shared" si="8"/>
        <v>טיסה לקפריסין</v>
      </c>
      <c r="Q35" t="str">
        <f t="shared" si="9"/>
        <v>ינואר</v>
      </c>
      <c r="R35">
        <f t="shared" si="10"/>
        <v>2025</v>
      </c>
      <c r="S35">
        <f t="shared" si="3"/>
        <v>0</v>
      </c>
      <c r="T35">
        <f t="shared" si="4"/>
        <v>0.1</v>
      </c>
      <c r="U35">
        <f t="shared" si="5"/>
        <v>0</v>
      </c>
      <c r="W35" s="47" t="s">
        <v>15</v>
      </c>
      <c r="X35" s="46">
        <v>3</v>
      </c>
      <c r="Y35" s="46"/>
      <c r="Z35" s="35">
        <v>2025</v>
      </c>
      <c r="AA35" s="36" t="s">
        <v>17</v>
      </c>
      <c r="AB35" s="35" t="s">
        <v>101</v>
      </c>
      <c r="AC35" s="35" t="s">
        <v>103</v>
      </c>
    </row>
    <row r="36" spans="1:30" x14ac:dyDescent="0.2">
      <c r="A36" s="1">
        <v>32</v>
      </c>
      <c r="B36" s="3" t="s">
        <v>12</v>
      </c>
      <c r="C36" s="5" t="s">
        <v>46</v>
      </c>
      <c r="D36" s="1">
        <v>4</v>
      </c>
      <c r="E36" s="1">
        <v>115</v>
      </c>
      <c r="F36" s="3" t="s">
        <v>11</v>
      </c>
      <c r="G36" s="2">
        <v>510000</v>
      </c>
      <c r="H36" s="4">
        <v>45997</v>
      </c>
      <c r="I36" t="str">
        <f t="shared" si="0"/>
        <v>קטנה</v>
      </c>
      <c r="J36" s="21">
        <f t="shared" si="1"/>
        <v>70750</v>
      </c>
      <c r="K36" s="21" cm="1">
        <f t="array" ref="K36">_xlfn.XLOOKUP(G36,'נתוני עזר'!$F$12:$F$15,_xlfn.XLOOKUP(B36,'נתוני עזר'!$G$11:$M$11,'נתוני עזר'!$G$12:$M$15),,-1)*G36</f>
        <v>15300</v>
      </c>
      <c r="L36" s="41">
        <f t="shared" si="2"/>
        <v>46179</v>
      </c>
      <c r="M36" s="45">
        <f>G36*'נתוני עזר'!$G$20</f>
        <v>1836000</v>
      </c>
      <c r="N36" s="45" t="str">
        <f t="shared" si="6"/>
        <v>לא זכאי להטבה</v>
      </c>
      <c r="O36" s="45" t="str">
        <f t="shared" si="7"/>
        <v>תלוש לארוחת בוקר זוגית</v>
      </c>
      <c r="P36" s="45" t="str">
        <f t="shared" si="8"/>
        <v>טיסה ללונדון</v>
      </c>
      <c r="Q36" t="str">
        <f t="shared" si="9"/>
        <v>דצמבר</v>
      </c>
      <c r="R36">
        <f t="shared" si="10"/>
        <v>2025</v>
      </c>
      <c r="S36">
        <f t="shared" si="3"/>
        <v>500000</v>
      </c>
      <c r="T36">
        <f t="shared" si="4"/>
        <v>0.15</v>
      </c>
      <c r="U36">
        <f t="shared" si="5"/>
        <v>52000</v>
      </c>
      <c r="W36" s="46"/>
      <c r="X36" s="46">
        <v>4.5</v>
      </c>
      <c r="Y36" s="46"/>
      <c r="Z36" s="35">
        <v>2025</v>
      </c>
      <c r="AA36" s="36" t="s">
        <v>22</v>
      </c>
      <c r="AB36" s="35" t="s">
        <v>101</v>
      </c>
      <c r="AC36" s="35" t="s">
        <v>103</v>
      </c>
    </row>
    <row r="37" spans="1:30" x14ac:dyDescent="0.2">
      <c r="A37" s="1">
        <v>33</v>
      </c>
      <c r="B37" s="3" t="s">
        <v>12</v>
      </c>
      <c r="C37" s="5" t="s">
        <v>47</v>
      </c>
      <c r="D37" s="1">
        <v>3</v>
      </c>
      <c r="E37" s="1">
        <v>80</v>
      </c>
      <c r="F37" s="3" t="s">
        <v>11</v>
      </c>
      <c r="G37" s="2">
        <v>1320000</v>
      </c>
      <c r="H37" s="4">
        <v>45679</v>
      </c>
      <c r="I37" t="str">
        <f t="shared" ref="I37:I66" si="12">IF(AND(G37&gt;$W$6,OR(B37=$V$6,B37=$V$7,B37=$V$8)),$X$6,IF(AND(G37&gt;=$W$10,G37&lt;=$W$6,OR(B37=$V$6,B37=$V$7,B37=$V$8)),$X$10,$X$13))</f>
        <v>גדולה</v>
      </c>
      <c r="J37" s="21">
        <f t="shared" ref="J37:J66" si="13">(E37*$V$25)+((G37-S37)*T37)+U37</f>
        <v>265000</v>
      </c>
      <c r="K37" s="21" cm="1">
        <f t="array" ref="K37">_xlfn.XLOOKUP(G37,'נתוני עזר'!$F$12:$F$15,_xlfn.XLOOKUP(B37,'נתוני עזר'!$G$11:$M$11,'נתוני עזר'!$G$12:$M$15),,-1)*G37</f>
        <v>79200</v>
      </c>
      <c r="L37" s="41">
        <f t="shared" ref="L37:L66" si="14">IF(D37=$AA$6,DATE(YEAR(H37)+$AA$7,$AA$8,$AA$7),IF(AND(OR(B37=$AB$12,B37=$AB$13),D37=$AA$12),DATE(YEAR(H37)+$AA$14,MONTH(H37)+$AA$15,$AA$16),DATE(YEAR(H37),MONTH(H37)+$AA$18,DAY(H37))))</f>
        <v>45860</v>
      </c>
      <c r="M37" s="45">
        <f>G37*'נתוני עזר'!$G$20</f>
        <v>4752000</v>
      </c>
      <c r="N37" s="45" t="str">
        <f t="shared" si="6"/>
        <v>לא זכאי להטבה</v>
      </c>
      <c r="O37" s="45" t="str">
        <f t="shared" si="7"/>
        <v>תלוש לארוחת בוקר זוגית</v>
      </c>
      <c r="P37" s="45" t="str">
        <f t="shared" si="8"/>
        <v>טיסה ללונדון</v>
      </c>
      <c r="Q37" t="str">
        <f t="shared" si="9"/>
        <v>ינואר</v>
      </c>
      <c r="R37">
        <f t="shared" si="10"/>
        <v>2025</v>
      </c>
      <c r="S37">
        <f t="shared" ref="S37:S66" si="15">_xlfn.XLOOKUP(G37,$V$18:$V$23,$V$18:$V$23,,-1)</f>
        <v>900000</v>
      </c>
      <c r="T37">
        <f t="shared" ref="T37:T66" si="16">_xlfn.XLOOKUP(G37,$V$18:$V$23,$W$18:$W$23,,-1)</f>
        <v>0.3</v>
      </c>
      <c r="U37">
        <f t="shared" ref="U37:U66" si="17">_xlfn.XLOOKUP(G37,$V$18:$V$23,$X$18:$X$23,,-1)</f>
        <v>127000</v>
      </c>
      <c r="W37" s="46" t="s">
        <v>123</v>
      </c>
      <c r="X37" s="46"/>
      <c r="Y37" s="46"/>
      <c r="Z37" s="35">
        <v>2025</v>
      </c>
      <c r="AA37" s="36" t="s">
        <v>15</v>
      </c>
      <c r="AB37" s="35" t="s">
        <v>101</v>
      </c>
      <c r="AC37" s="35" t="s">
        <v>103</v>
      </c>
    </row>
    <row r="38" spans="1:30" x14ac:dyDescent="0.2">
      <c r="A38" s="1">
        <v>34</v>
      </c>
      <c r="B38" s="3" t="s">
        <v>9</v>
      </c>
      <c r="C38" s="5" t="s">
        <v>48</v>
      </c>
      <c r="D38" s="1">
        <v>5</v>
      </c>
      <c r="E38" s="1">
        <v>165</v>
      </c>
      <c r="F38" s="3" t="s">
        <v>11</v>
      </c>
      <c r="G38" s="2">
        <v>2808000</v>
      </c>
      <c r="H38" s="4">
        <v>45807</v>
      </c>
      <c r="I38" t="str">
        <f t="shared" si="12"/>
        <v>גדולה</v>
      </c>
      <c r="J38" s="21">
        <f t="shared" si="13"/>
        <v>724150</v>
      </c>
      <c r="K38" s="21" cm="1">
        <f t="array" ref="K38">_xlfn.XLOOKUP(G38,'נתוני עזר'!$F$12:$F$15,_xlfn.XLOOKUP(B38,'נתוני עזר'!$G$11:$M$11,'נתוני עזר'!$G$12:$M$15),,-1)*G38</f>
        <v>252720</v>
      </c>
      <c r="L38" s="41">
        <f t="shared" si="14"/>
        <v>45991</v>
      </c>
      <c r="M38" s="45">
        <f>G38*'נתוני עזר'!$G$20</f>
        <v>10108800</v>
      </c>
      <c r="N38" s="45" t="str">
        <f t="shared" si="6"/>
        <v>תלוש לארוחת בוקר זוגית</v>
      </c>
      <c r="O38" s="45" t="str">
        <f t="shared" si="7"/>
        <v>תלוש לארוחת בוקר זוגית</v>
      </c>
      <c r="P38" s="45" t="str">
        <f t="shared" si="8"/>
        <v>טיסה לפריז</v>
      </c>
      <c r="Q38" t="str">
        <f t="shared" si="9"/>
        <v>מאי</v>
      </c>
      <c r="R38">
        <f t="shared" si="10"/>
        <v>2025</v>
      </c>
      <c r="S38">
        <f t="shared" si="15"/>
        <v>900000</v>
      </c>
      <c r="T38">
        <f t="shared" si="16"/>
        <v>0.3</v>
      </c>
      <c r="U38">
        <f t="shared" si="17"/>
        <v>127000</v>
      </c>
      <c r="W38" s="46" t="s">
        <v>124</v>
      </c>
      <c r="X38" s="46"/>
      <c r="Y38" s="46"/>
      <c r="Z38" s="35"/>
      <c r="AA38" s="35"/>
      <c r="AB38" s="35"/>
      <c r="AC38" s="35"/>
    </row>
    <row r="39" spans="1:30" x14ac:dyDescent="0.2">
      <c r="A39" s="1">
        <v>35</v>
      </c>
      <c r="B39" s="3" t="s">
        <v>15</v>
      </c>
      <c r="C39" s="5" t="s">
        <v>49</v>
      </c>
      <c r="D39" s="1">
        <v>5</v>
      </c>
      <c r="E39" s="1">
        <v>110</v>
      </c>
      <c r="F39" s="3" t="s">
        <v>11</v>
      </c>
      <c r="G39" s="2">
        <v>666000</v>
      </c>
      <c r="H39" s="4">
        <v>45864</v>
      </c>
      <c r="I39" t="str">
        <f t="shared" si="12"/>
        <v>קטנה</v>
      </c>
      <c r="J39" s="21">
        <f t="shared" si="13"/>
        <v>94200</v>
      </c>
      <c r="K39" s="21" cm="1">
        <f t="array" ref="K39">_xlfn.XLOOKUP(G39,'נתוני עזר'!$F$12:$F$15,_xlfn.XLOOKUP(B39,'נתוני עזר'!$G$11:$M$11,'נתוני עזר'!$G$12:$M$15),,-1)*G39</f>
        <v>33300</v>
      </c>
      <c r="L39" s="41">
        <f t="shared" si="14"/>
        <v>46048</v>
      </c>
      <c r="M39" s="45">
        <f>G39*'נתוני עזר'!$G$20</f>
        <v>2397600</v>
      </c>
      <c r="N39" s="45" t="str">
        <f t="shared" si="6"/>
        <v>טיסה לפריז</v>
      </c>
      <c r="O39" s="45" t="str">
        <f t="shared" si="7"/>
        <v>תלוש לארוחת בוקר זוגית</v>
      </c>
      <c r="P39" s="45" t="str">
        <f t="shared" si="8"/>
        <v>טיסה לפריז</v>
      </c>
      <c r="Q39" t="str">
        <f t="shared" si="9"/>
        <v>יולי</v>
      </c>
      <c r="R39">
        <f t="shared" si="10"/>
        <v>2025</v>
      </c>
      <c r="S39">
        <f t="shared" si="15"/>
        <v>650000</v>
      </c>
      <c r="T39">
        <f t="shared" si="16"/>
        <v>0.2</v>
      </c>
      <c r="U39">
        <f t="shared" si="17"/>
        <v>74500</v>
      </c>
      <c r="W39" s="46" t="s">
        <v>125</v>
      </c>
      <c r="X39" s="46"/>
      <c r="Y39" s="46"/>
      <c r="Z39" s="35"/>
      <c r="AA39" s="35"/>
      <c r="AB39" s="35"/>
      <c r="AC39" s="35"/>
    </row>
    <row r="40" spans="1:30" x14ac:dyDescent="0.2">
      <c r="A40" s="1">
        <v>36</v>
      </c>
      <c r="B40" s="3" t="s">
        <v>22</v>
      </c>
      <c r="C40" s="5" t="s">
        <v>50</v>
      </c>
      <c r="D40" s="1">
        <v>7</v>
      </c>
      <c r="E40" s="1">
        <v>130</v>
      </c>
      <c r="F40" s="3" t="s">
        <v>11</v>
      </c>
      <c r="G40" s="2">
        <v>2370000</v>
      </c>
      <c r="H40" s="4">
        <v>45710</v>
      </c>
      <c r="I40" t="str">
        <f t="shared" si="12"/>
        <v>קטנה</v>
      </c>
      <c r="J40" s="21">
        <f t="shared" si="13"/>
        <v>587500</v>
      </c>
      <c r="K40" s="21" cm="1">
        <f t="array" ref="K40">_xlfn.XLOOKUP(G40,'נתוני עזר'!$F$12:$F$15,_xlfn.XLOOKUP(B40,'נתוני עזר'!$G$11:$M$11,'נתוני עזר'!$G$12:$M$15),,-1)*G40</f>
        <v>165900.00000000003</v>
      </c>
      <c r="L40" s="41">
        <f t="shared" si="14"/>
        <v>45891</v>
      </c>
      <c r="M40" s="45">
        <f>G40*'נתוני עזר'!$G$20</f>
        <v>8532000</v>
      </c>
      <c r="N40" s="45" t="str">
        <f t="shared" si="6"/>
        <v>לא זכאי להטבה</v>
      </c>
      <c r="O40" s="45" t="str">
        <f t="shared" si="7"/>
        <v>תלוש לארוחת בוקר זוגית</v>
      </c>
      <c r="P40" s="45" t="str">
        <f t="shared" si="8"/>
        <v>טיסה לפריז</v>
      </c>
      <c r="Q40" t="str">
        <f t="shared" si="9"/>
        <v>פברואר</v>
      </c>
      <c r="R40">
        <f t="shared" si="10"/>
        <v>2025</v>
      </c>
      <c r="S40">
        <f t="shared" si="15"/>
        <v>900000</v>
      </c>
      <c r="T40">
        <f t="shared" si="16"/>
        <v>0.3</v>
      </c>
      <c r="U40">
        <f t="shared" si="17"/>
        <v>127000</v>
      </c>
      <c r="W40" s="46"/>
      <c r="X40" s="46"/>
      <c r="Y40" s="46"/>
      <c r="Z40" s="35"/>
      <c r="AA40" s="35"/>
      <c r="AB40" s="35" t="s">
        <v>99</v>
      </c>
      <c r="AC40" s="35">
        <f>DCOUNT(A4:U66,A4,Z34:AC37)</f>
        <v>1</v>
      </c>
    </row>
    <row r="41" spans="1:30" x14ac:dyDescent="0.2">
      <c r="A41" s="1">
        <v>37</v>
      </c>
      <c r="B41" s="3" t="s">
        <v>15</v>
      </c>
      <c r="C41" s="5" t="s">
        <v>51</v>
      </c>
      <c r="D41" s="1">
        <v>5</v>
      </c>
      <c r="E41" s="1">
        <v>140</v>
      </c>
      <c r="F41" s="3" t="s">
        <v>11</v>
      </c>
      <c r="G41" s="2">
        <v>516000</v>
      </c>
      <c r="H41" s="4">
        <v>45739</v>
      </c>
      <c r="I41" t="str">
        <f t="shared" si="12"/>
        <v>קטנה</v>
      </c>
      <c r="J41" s="21">
        <f t="shared" si="13"/>
        <v>75400</v>
      </c>
      <c r="K41" s="21" cm="1">
        <f t="array" ref="K41">_xlfn.XLOOKUP(G41,'נתוני עזר'!$F$12:$F$15,_xlfn.XLOOKUP(B41,'נתוני עזר'!$G$11:$M$11,'נתוני עזר'!$G$12:$M$15),,-1)*G41</f>
        <v>10320</v>
      </c>
      <c r="L41" s="41">
        <f t="shared" si="14"/>
        <v>45923</v>
      </c>
      <c r="M41" s="45">
        <f>G41*'נתוני עזר'!$G$20</f>
        <v>1857600</v>
      </c>
      <c r="N41" s="45" t="str">
        <f t="shared" si="6"/>
        <v>טיסה לפריז</v>
      </c>
      <c r="O41" s="45" t="str">
        <f t="shared" si="7"/>
        <v>תלוש לארוחת בוקר זוגית</v>
      </c>
      <c r="P41" s="45" t="str">
        <f t="shared" si="8"/>
        <v>טיסה לפריז</v>
      </c>
      <c r="Q41" t="str">
        <f t="shared" si="9"/>
        <v>מרץ</v>
      </c>
      <c r="R41">
        <f t="shared" si="10"/>
        <v>2025</v>
      </c>
      <c r="S41">
        <f t="shared" si="15"/>
        <v>500000</v>
      </c>
      <c r="T41">
        <f t="shared" si="16"/>
        <v>0.15</v>
      </c>
      <c r="U41">
        <f t="shared" si="17"/>
        <v>52000</v>
      </c>
      <c r="W41" s="46" t="s">
        <v>126</v>
      </c>
      <c r="X41" s="46"/>
      <c r="Y41" s="46"/>
    </row>
    <row r="42" spans="1:30" x14ac:dyDescent="0.2">
      <c r="A42" s="1">
        <v>38</v>
      </c>
      <c r="B42" s="3" t="s">
        <v>22</v>
      </c>
      <c r="C42" s="5" t="s">
        <v>52</v>
      </c>
      <c r="D42" s="1">
        <v>3.5</v>
      </c>
      <c r="E42" s="1">
        <v>85</v>
      </c>
      <c r="F42" s="3" t="s">
        <v>11</v>
      </c>
      <c r="G42" s="2">
        <v>696000</v>
      </c>
      <c r="H42" s="4">
        <v>45922</v>
      </c>
      <c r="I42" t="str">
        <f t="shared" si="12"/>
        <v>קטנה</v>
      </c>
      <c r="J42" s="21">
        <f t="shared" si="13"/>
        <v>96450</v>
      </c>
      <c r="K42" s="21" cm="1">
        <f t="array" ref="K42">_xlfn.XLOOKUP(G42,'נתוני עזר'!$F$12:$F$15,_xlfn.XLOOKUP(B42,'נתוני עזר'!$G$11:$M$11,'נתוני עזר'!$G$12:$M$15),,-1)*G42</f>
        <v>41760</v>
      </c>
      <c r="L42" s="41">
        <f t="shared" si="14"/>
        <v>46103</v>
      </c>
      <c r="M42" s="45">
        <f>G42*'נתוני עזר'!$G$20</f>
        <v>2505600</v>
      </c>
      <c r="N42" s="45" t="str">
        <f t="shared" si="6"/>
        <v>לא זכאי להטבה</v>
      </c>
      <c r="O42" s="45" t="str">
        <f t="shared" si="7"/>
        <v>תלוש לארוחת בוקר זוגית</v>
      </c>
      <c r="P42" s="45" t="str">
        <f t="shared" si="8"/>
        <v>טיסה ללונדון</v>
      </c>
      <c r="Q42" t="str">
        <f t="shared" si="9"/>
        <v>ספטמבר</v>
      </c>
      <c r="R42">
        <f t="shared" si="10"/>
        <v>2025</v>
      </c>
      <c r="S42">
        <f t="shared" si="15"/>
        <v>650000</v>
      </c>
      <c r="T42">
        <f t="shared" si="16"/>
        <v>0.2</v>
      </c>
      <c r="U42">
        <f t="shared" si="17"/>
        <v>74500</v>
      </c>
      <c r="W42" s="46" t="s">
        <v>127</v>
      </c>
      <c r="X42" s="46"/>
      <c r="Y42" s="46"/>
    </row>
    <row r="43" spans="1:30" x14ac:dyDescent="0.2">
      <c r="A43" s="1">
        <v>39</v>
      </c>
      <c r="B43" s="3" t="s">
        <v>17</v>
      </c>
      <c r="C43" s="5" t="s">
        <v>53</v>
      </c>
      <c r="D43" s="1">
        <v>2</v>
      </c>
      <c r="E43" s="1">
        <v>40</v>
      </c>
      <c r="F43" s="3" t="s">
        <v>11</v>
      </c>
      <c r="G43" s="2">
        <v>960000</v>
      </c>
      <c r="H43" s="4">
        <v>45815</v>
      </c>
      <c r="I43" t="str">
        <f t="shared" si="12"/>
        <v>קטנה</v>
      </c>
      <c r="J43" s="21">
        <f t="shared" si="13"/>
        <v>151000</v>
      </c>
      <c r="K43" s="21" cm="1">
        <f t="array" ref="K43">_xlfn.XLOOKUP(G43,'נתוני עזר'!$F$12:$F$15,_xlfn.XLOOKUP(B43,'נתוני עזר'!$G$11:$M$11,'נתוני עזר'!$G$12:$M$15),,-1)*G43</f>
        <v>48000</v>
      </c>
      <c r="L43" s="41">
        <f t="shared" si="14"/>
        <v>46113</v>
      </c>
      <c r="M43" s="45">
        <f>G43*'נתוני עזר'!$G$20</f>
        <v>3456000</v>
      </c>
      <c r="N43" s="45" t="str">
        <f t="shared" si="6"/>
        <v>לא זכאי להטבה</v>
      </c>
      <c r="O43" s="45" t="str">
        <f t="shared" si="7"/>
        <v>הופעה בזאפה</v>
      </c>
      <c r="P43" s="45" t="str">
        <f t="shared" si="8"/>
        <v>טיסה לקפריסין</v>
      </c>
      <c r="Q43" t="str">
        <f t="shared" si="9"/>
        <v>יוני</v>
      </c>
      <c r="R43">
        <f t="shared" si="10"/>
        <v>2025</v>
      </c>
      <c r="S43">
        <f t="shared" si="15"/>
        <v>900000</v>
      </c>
      <c r="T43">
        <f t="shared" si="16"/>
        <v>0.3</v>
      </c>
      <c r="U43">
        <f t="shared" si="17"/>
        <v>127000</v>
      </c>
    </row>
    <row r="44" spans="1:30" x14ac:dyDescent="0.2">
      <c r="A44" s="1">
        <v>40</v>
      </c>
      <c r="B44" s="3" t="s">
        <v>6</v>
      </c>
      <c r="C44" s="5" t="s">
        <v>54</v>
      </c>
      <c r="D44" s="1">
        <v>4</v>
      </c>
      <c r="E44" s="1">
        <v>90</v>
      </c>
      <c r="F44" s="3" t="s">
        <v>11</v>
      </c>
      <c r="G44" s="2">
        <v>1470000</v>
      </c>
      <c r="H44" s="4">
        <v>45794</v>
      </c>
      <c r="I44" t="str">
        <f t="shared" si="12"/>
        <v>קטנה</v>
      </c>
      <c r="J44" s="21">
        <f t="shared" si="13"/>
        <v>311500</v>
      </c>
      <c r="K44" s="21" cm="1">
        <f t="array" ref="K44">_xlfn.XLOOKUP(G44,'נתוני עזר'!$F$12:$F$15,_xlfn.XLOOKUP(B44,'נתוני עזר'!$G$11:$M$11,'נתוני עזר'!$G$12:$M$15),,-1)*G44</f>
        <v>132300</v>
      </c>
      <c r="L44" s="41">
        <f t="shared" si="14"/>
        <v>45978</v>
      </c>
      <c r="M44" s="45">
        <f>G44*'נתוני עזר'!$G$20</f>
        <v>5292000</v>
      </c>
      <c r="N44" s="45" t="str">
        <f t="shared" si="6"/>
        <v>תלוש לארוחת בוקר זוגית</v>
      </c>
      <c r="O44" s="45" t="str">
        <f t="shared" si="7"/>
        <v>תלוש לארוחת בוקר זוגית</v>
      </c>
      <c r="P44" s="45" t="str">
        <f t="shared" si="8"/>
        <v>טיסה ללונדון</v>
      </c>
      <c r="Q44" t="str">
        <f t="shared" si="9"/>
        <v>מאי</v>
      </c>
      <c r="R44">
        <f t="shared" si="10"/>
        <v>2025</v>
      </c>
      <c r="S44">
        <f t="shared" si="15"/>
        <v>900000</v>
      </c>
      <c r="T44">
        <f t="shared" si="16"/>
        <v>0.3</v>
      </c>
      <c r="U44">
        <f t="shared" si="17"/>
        <v>127000</v>
      </c>
      <c r="Z44" s="27" t="s">
        <v>108</v>
      </c>
      <c r="AA44" s="28" t="s">
        <v>5</v>
      </c>
      <c r="AB44" s="28" t="s">
        <v>4</v>
      </c>
      <c r="AC44" s="27" t="s">
        <v>100</v>
      </c>
      <c r="AD44" s="27" t="s">
        <v>100</v>
      </c>
    </row>
    <row r="45" spans="1:30" x14ac:dyDescent="0.2">
      <c r="A45" s="1">
        <v>41</v>
      </c>
      <c r="B45" s="3" t="s">
        <v>9</v>
      </c>
      <c r="C45" s="5" t="s">
        <v>55</v>
      </c>
      <c r="D45" s="1">
        <v>6</v>
      </c>
      <c r="E45" s="1">
        <v>120</v>
      </c>
      <c r="F45" s="3" t="s">
        <v>11</v>
      </c>
      <c r="G45" s="2">
        <v>798000</v>
      </c>
      <c r="H45" s="4">
        <v>45761</v>
      </c>
      <c r="I45" t="str">
        <f t="shared" si="12"/>
        <v>בינונית</v>
      </c>
      <c r="J45" s="21">
        <f t="shared" si="13"/>
        <v>122100</v>
      </c>
      <c r="K45" s="21" cm="1">
        <f t="array" ref="K45">_xlfn.XLOOKUP(G45,'נתוני עזר'!$F$12:$F$15,_xlfn.XLOOKUP(B45,'נתוני עזר'!$G$11:$M$11,'נתוני עזר'!$G$12:$M$15),,-1)*G45</f>
        <v>55860.000000000007</v>
      </c>
      <c r="L45" s="41">
        <f t="shared" si="14"/>
        <v>45944</v>
      </c>
      <c r="M45" s="45">
        <f>G45*'נתוני עזר'!$G$20</f>
        <v>2872800</v>
      </c>
      <c r="N45" s="45" t="str">
        <f t="shared" si="6"/>
        <v>תלוש לארוחת בוקר זוגית</v>
      </c>
      <c r="O45" s="45" t="str">
        <f t="shared" si="7"/>
        <v>תלוש לארוחת בוקר זוגית</v>
      </c>
      <c r="P45" s="45" t="str">
        <f t="shared" si="8"/>
        <v>טיסה לפריז</v>
      </c>
      <c r="Q45" t="str">
        <f t="shared" si="9"/>
        <v>אפריל</v>
      </c>
      <c r="R45">
        <f t="shared" si="10"/>
        <v>2025</v>
      </c>
      <c r="S45">
        <f t="shared" si="15"/>
        <v>650000</v>
      </c>
      <c r="T45">
        <f t="shared" si="16"/>
        <v>0.2</v>
      </c>
      <c r="U45">
        <f t="shared" si="17"/>
        <v>74500</v>
      </c>
      <c r="Z45" s="29"/>
      <c r="AA45" s="30" t="s">
        <v>11</v>
      </c>
      <c r="AB45" s="29" t="s">
        <v>105</v>
      </c>
      <c r="AC45" s="29"/>
      <c r="AD45" s="29"/>
    </row>
    <row r="46" spans="1:30" x14ac:dyDescent="0.2">
      <c r="A46" s="1">
        <v>42</v>
      </c>
      <c r="B46" s="3" t="s">
        <v>17</v>
      </c>
      <c r="C46" s="5" t="s">
        <v>56</v>
      </c>
      <c r="D46" s="1">
        <v>3.5</v>
      </c>
      <c r="E46" s="1">
        <v>85</v>
      </c>
      <c r="F46" s="3" t="s">
        <v>11</v>
      </c>
      <c r="G46" s="2">
        <v>612000</v>
      </c>
      <c r="H46" s="4">
        <v>45853</v>
      </c>
      <c r="I46" t="str">
        <f t="shared" si="12"/>
        <v>קטנה</v>
      </c>
      <c r="J46" s="21">
        <f t="shared" si="13"/>
        <v>81550</v>
      </c>
      <c r="K46" s="21" cm="1">
        <f t="array" ref="K46">_xlfn.XLOOKUP(G46,'נתוני עזר'!$F$12:$F$15,_xlfn.XLOOKUP(B46,'נתוני עזר'!$G$11:$M$11,'נתוני עזר'!$G$12:$M$15),,-1)*G46</f>
        <v>30600</v>
      </c>
      <c r="L46" s="41">
        <f t="shared" si="14"/>
        <v>46037</v>
      </c>
      <c r="M46" s="45">
        <f>G46*'נתוני עזר'!$G$20</f>
        <v>2203200</v>
      </c>
      <c r="N46" s="45" t="str">
        <f t="shared" si="6"/>
        <v>לא זכאי להטבה</v>
      </c>
      <c r="O46" s="45" t="str">
        <f t="shared" si="7"/>
        <v>תלוש לארוחת בוקר זוגית</v>
      </c>
      <c r="P46" s="45" t="str">
        <f t="shared" si="8"/>
        <v>טיסה ללונדון</v>
      </c>
      <c r="Q46" t="str">
        <f t="shared" si="9"/>
        <v>יולי</v>
      </c>
      <c r="R46">
        <f t="shared" si="10"/>
        <v>2025</v>
      </c>
      <c r="S46">
        <f t="shared" si="15"/>
        <v>500000</v>
      </c>
      <c r="T46">
        <f t="shared" si="16"/>
        <v>0.15</v>
      </c>
      <c r="U46">
        <f t="shared" si="17"/>
        <v>52000</v>
      </c>
      <c r="Z46" s="29">
        <v>2025</v>
      </c>
      <c r="AA46" s="29"/>
      <c r="AB46" s="29"/>
      <c r="AC46" s="29" t="s">
        <v>106</v>
      </c>
      <c r="AD46" s="29" t="s">
        <v>107</v>
      </c>
    </row>
    <row r="47" spans="1:30" x14ac:dyDescent="0.2">
      <c r="A47" s="1">
        <v>43</v>
      </c>
      <c r="B47" s="3" t="s">
        <v>20</v>
      </c>
      <c r="C47" s="5" t="s">
        <v>57</v>
      </c>
      <c r="D47" s="1">
        <v>8</v>
      </c>
      <c r="E47" s="1">
        <v>250</v>
      </c>
      <c r="F47" s="3" t="s">
        <v>11</v>
      </c>
      <c r="G47" s="2">
        <v>3060000</v>
      </c>
      <c r="H47" s="4">
        <v>45759</v>
      </c>
      <c r="I47" t="str">
        <f t="shared" si="12"/>
        <v>גדולה</v>
      </c>
      <c r="J47" s="21">
        <f t="shared" si="13"/>
        <v>812500</v>
      </c>
      <c r="K47" s="21" cm="1">
        <f t="array" ref="K47">_xlfn.XLOOKUP(G47,'נתוני עזר'!$F$12:$F$15,_xlfn.XLOOKUP(B47,'נתוני עזר'!$G$11:$M$11,'נתוני עזר'!$G$12:$M$15),,-1)*G47</f>
        <v>122400</v>
      </c>
      <c r="L47" s="41">
        <f t="shared" si="14"/>
        <v>45942</v>
      </c>
      <c r="M47" s="45">
        <f>G47*'נתוני עזר'!$G$20</f>
        <v>11016000</v>
      </c>
      <c r="N47" s="45" t="str">
        <f t="shared" si="6"/>
        <v>לא זכאי להטבה</v>
      </c>
      <c r="O47" s="45" t="str">
        <f t="shared" si="7"/>
        <v>תלוש לארוחת בוקר זוגית</v>
      </c>
      <c r="P47" s="45" t="str">
        <f t="shared" si="8"/>
        <v>טיסה לפריז</v>
      </c>
      <c r="Q47" t="str">
        <f t="shared" si="9"/>
        <v>אפריל</v>
      </c>
      <c r="R47">
        <f t="shared" si="10"/>
        <v>2025</v>
      </c>
      <c r="S47">
        <f t="shared" si="15"/>
        <v>900000</v>
      </c>
      <c r="T47">
        <f t="shared" si="16"/>
        <v>0.3</v>
      </c>
      <c r="U47">
        <f t="shared" si="17"/>
        <v>127000</v>
      </c>
      <c r="Z47" s="29"/>
      <c r="AA47" s="29"/>
      <c r="AB47" s="29"/>
      <c r="AC47" s="29"/>
      <c r="AD47" s="29"/>
    </row>
    <row r="48" spans="1:30" x14ac:dyDescent="0.2">
      <c r="A48" s="1">
        <v>44</v>
      </c>
      <c r="B48" s="3" t="s">
        <v>6</v>
      </c>
      <c r="C48" s="5" t="s">
        <v>58</v>
      </c>
      <c r="D48" s="1">
        <v>3.5</v>
      </c>
      <c r="E48" s="1">
        <v>100</v>
      </c>
      <c r="F48" s="3" t="s">
        <v>11</v>
      </c>
      <c r="G48" s="2">
        <v>462000</v>
      </c>
      <c r="H48" s="4">
        <v>45748</v>
      </c>
      <c r="I48" t="str">
        <f t="shared" si="12"/>
        <v>קטנה</v>
      </c>
      <c r="J48" s="21">
        <f t="shared" si="13"/>
        <v>62440</v>
      </c>
      <c r="K48" s="21" cm="1">
        <f t="array" ref="K48">_xlfn.XLOOKUP(G48,'נתוני עזר'!$F$12:$F$15,_xlfn.XLOOKUP(B48,'נתוני עזר'!$G$11:$M$11,'נתוני עזר'!$G$12:$M$15),,-1)*G48</f>
        <v>13860</v>
      </c>
      <c r="L48" s="41">
        <f t="shared" si="14"/>
        <v>45931</v>
      </c>
      <c r="M48" s="45">
        <f>G48*'נתוני עזר'!$G$20</f>
        <v>1663200</v>
      </c>
      <c r="N48" s="45" t="str">
        <f t="shared" si="6"/>
        <v>תלוש לארוחת בוקר זוגית</v>
      </c>
      <c r="O48" s="45" t="str">
        <f t="shared" si="7"/>
        <v>תלוש לארוחת בוקר זוגית</v>
      </c>
      <c r="P48" s="45" t="str">
        <f t="shared" si="8"/>
        <v>טיסה ללונדון</v>
      </c>
      <c r="Q48" t="str">
        <f t="shared" si="9"/>
        <v>אפריל</v>
      </c>
      <c r="R48">
        <f t="shared" si="10"/>
        <v>2025</v>
      </c>
      <c r="S48">
        <f t="shared" si="15"/>
        <v>400000</v>
      </c>
      <c r="T48">
        <f t="shared" si="16"/>
        <v>0.12</v>
      </c>
      <c r="U48">
        <f t="shared" si="17"/>
        <v>40000</v>
      </c>
      <c r="Z48" s="29"/>
      <c r="AA48" s="29"/>
      <c r="AB48" s="29"/>
      <c r="AC48" s="29"/>
      <c r="AD48" s="29"/>
    </row>
    <row r="49" spans="1:30" x14ac:dyDescent="0.2">
      <c r="A49" s="1">
        <v>45</v>
      </c>
      <c r="B49" s="3" t="s">
        <v>15</v>
      </c>
      <c r="C49" s="5" t="s">
        <v>59</v>
      </c>
      <c r="D49" s="1">
        <v>4</v>
      </c>
      <c r="E49" s="1">
        <v>100</v>
      </c>
      <c r="F49" s="3" t="s">
        <v>11</v>
      </c>
      <c r="G49" s="2">
        <v>504000</v>
      </c>
      <c r="H49" s="4">
        <v>45901</v>
      </c>
      <c r="I49" t="str">
        <f t="shared" si="12"/>
        <v>קטנה</v>
      </c>
      <c r="J49" s="21">
        <f t="shared" si="13"/>
        <v>67600</v>
      </c>
      <c r="K49" s="21" cm="1">
        <f t="array" ref="K49">_xlfn.XLOOKUP(G49,'נתוני עזר'!$F$12:$F$15,_xlfn.XLOOKUP(B49,'נתוני עזר'!$G$11:$M$11,'נתוני עזר'!$G$12:$M$15),,-1)*G49</f>
        <v>10080</v>
      </c>
      <c r="L49" s="41">
        <f t="shared" si="14"/>
        <v>46082</v>
      </c>
      <c r="M49" s="45">
        <f>G49*'נתוני עזר'!$G$20</f>
        <v>1814400</v>
      </c>
      <c r="N49" s="45" t="str">
        <f t="shared" si="6"/>
        <v>טיסה ללונדון</v>
      </c>
      <c r="O49" s="45" t="str">
        <f t="shared" si="7"/>
        <v>תלוש לארוחת בוקר זוגית</v>
      </c>
      <c r="P49" s="45" t="str">
        <f t="shared" si="8"/>
        <v>טיסה ללונדון</v>
      </c>
      <c r="Q49" t="str">
        <f t="shared" si="9"/>
        <v>ספטמבר</v>
      </c>
      <c r="R49">
        <f t="shared" si="10"/>
        <v>2025</v>
      </c>
      <c r="S49">
        <f t="shared" si="15"/>
        <v>500000</v>
      </c>
      <c r="T49">
        <f t="shared" si="16"/>
        <v>0.15</v>
      </c>
      <c r="U49">
        <f t="shared" si="17"/>
        <v>52000</v>
      </c>
      <c r="Z49" s="29"/>
      <c r="AA49" s="29"/>
      <c r="AB49" s="29"/>
      <c r="AC49" s="29"/>
      <c r="AD49" s="29"/>
    </row>
    <row r="50" spans="1:30" x14ac:dyDescent="0.2">
      <c r="A50" s="1">
        <v>46</v>
      </c>
      <c r="B50" s="3" t="s">
        <v>22</v>
      </c>
      <c r="C50" s="5" t="s">
        <v>60</v>
      </c>
      <c r="D50" s="1">
        <v>5</v>
      </c>
      <c r="E50" s="1">
        <v>180</v>
      </c>
      <c r="F50" s="3" t="s">
        <v>11</v>
      </c>
      <c r="G50" s="2">
        <v>1020000</v>
      </c>
      <c r="H50" s="4">
        <v>45881</v>
      </c>
      <c r="I50" t="str">
        <f t="shared" si="12"/>
        <v>קטנה</v>
      </c>
      <c r="J50" s="21">
        <f t="shared" si="13"/>
        <v>190000</v>
      </c>
      <c r="K50" s="21" cm="1">
        <f t="array" ref="K50">_xlfn.XLOOKUP(G50,'נתוני עזר'!$F$12:$F$15,_xlfn.XLOOKUP(B50,'נתוני עזר'!$G$11:$M$11,'נתוני עזר'!$G$12:$M$15),,-1)*G50</f>
        <v>71400</v>
      </c>
      <c r="L50" s="41">
        <f t="shared" si="14"/>
        <v>46065</v>
      </c>
      <c r="M50" s="45">
        <f>G50*'נתוני עזר'!$G$20</f>
        <v>3672000</v>
      </c>
      <c r="N50" s="45" t="str">
        <f t="shared" si="6"/>
        <v>לא זכאי להטבה</v>
      </c>
      <c r="O50" s="45" t="str">
        <f t="shared" si="7"/>
        <v>תלוש לארוחת בוקר זוגית</v>
      </c>
      <c r="P50" s="45" t="str">
        <f t="shared" si="8"/>
        <v>טיסה לפריז</v>
      </c>
      <c r="Q50" t="str">
        <f t="shared" si="9"/>
        <v>אוגוסט</v>
      </c>
      <c r="R50">
        <f t="shared" si="10"/>
        <v>2025</v>
      </c>
      <c r="S50">
        <f t="shared" si="15"/>
        <v>900000</v>
      </c>
      <c r="T50">
        <f t="shared" si="16"/>
        <v>0.3</v>
      </c>
      <c r="U50">
        <f t="shared" si="17"/>
        <v>127000</v>
      </c>
      <c r="Z50" s="29"/>
      <c r="AA50" s="29"/>
      <c r="AB50" s="29" t="s">
        <v>104</v>
      </c>
      <c r="AC50" s="31">
        <f>DMIN(A4:U66,G4,Z44:AD46)</f>
        <v>336000</v>
      </c>
      <c r="AD50" s="29"/>
    </row>
    <row r="51" spans="1:30" x14ac:dyDescent="0.2">
      <c r="A51" s="1">
        <v>47</v>
      </c>
      <c r="B51" s="3" t="s">
        <v>22</v>
      </c>
      <c r="C51" s="5" t="s">
        <v>61</v>
      </c>
      <c r="D51" s="1">
        <v>3</v>
      </c>
      <c r="E51" s="1">
        <v>75</v>
      </c>
      <c r="F51" s="3" t="s">
        <v>11</v>
      </c>
      <c r="G51" s="2">
        <v>600000</v>
      </c>
      <c r="H51" s="4">
        <v>45879</v>
      </c>
      <c r="I51" t="str">
        <f t="shared" si="12"/>
        <v>קטנה</v>
      </c>
      <c r="J51" s="21">
        <f t="shared" si="13"/>
        <v>78250</v>
      </c>
      <c r="K51" s="21" cm="1">
        <f t="array" ref="K51">_xlfn.XLOOKUP(G51,'נתוני עזר'!$F$12:$F$15,_xlfn.XLOOKUP(B51,'נתוני עזר'!$G$11:$M$11,'נתוני עזר'!$G$12:$M$15),,-1)*G51</f>
        <v>36000</v>
      </c>
      <c r="L51" s="41">
        <f t="shared" si="14"/>
        <v>46063</v>
      </c>
      <c r="M51" s="45">
        <f>G51*'נתוני עזר'!$G$20</f>
        <v>2160000</v>
      </c>
      <c r="N51" s="45" t="str">
        <f t="shared" si="6"/>
        <v>לא זכאי להטבה</v>
      </c>
      <c r="O51" s="45" t="str">
        <f t="shared" si="7"/>
        <v>תלוש לארוחת בוקר זוגית</v>
      </c>
      <c r="P51" s="45" t="str">
        <f t="shared" si="8"/>
        <v>טיסה ללונדון</v>
      </c>
      <c r="Q51" t="str">
        <f t="shared" si="9"/>
        <v>אוגוסט</v>
      </c>
      <c r="R51">
        <f t="shared" si="10"/>
        <v>2025</v>
      </c>
      <c r="S51">
        <f t="shared" si="15"/>
        <v>500000</v>
      </c>
      <c r="T51">
        <f t="shared" si="16"/>
        <v>0.15</v>
      </c>
      <c r="U51">
        <f t="shared" si="17"/>
        <v>52000</v>
      </c>
    </row>
    <row r="52" spans="1:30" x14ac:dyDescent="0.2">
      <c r="A52" s="1">
        <v>48</v>
      </c>
      <c r="B52" s="3" t="s">
        <v>15</v>
      </c>
      <c r="C52" s="5" t="s">
        <v>62</v>
      </c>
      <c r="D52" s="1">
        <v>2.5</v>
      </c>
      <c r="E52" s="1">
        <v>48</v>
      </c>
      <c r="F52" s="3" t="s">
        <v>11</v>
      </c>
      <c r="G52" s="2">
        <v>1158000</v>
      </c>
      <c r="H52" s="4">
        <v>45959</v>
      </c>
      <c r="I52" t="str">
        <f t="shared" si="12"/>
        <v>קטנה</v>
      </c>
      <c r="J52" s="21">
        <f t="shared" si="13"/>
        <v>211600</v>
      </c>
      <c r="K52" s="21" cm="1">
        <f t="array" ref="K52">_xlfn.XLOOKUP(G52,'נתוני עזר'!$F$12:$F$15,_xlfn.XLOOKUP(B52,'נתוני עזר'!$G$11:$M$11,'נתוני עזר'!$G$12:$M$15),,-1)*G52</f>
        <v>69480</v>
      </c>
      <c r="L52" s="41">
        <f t="shared" si="14"/>
        <v>46141</v>
      </c>
      <c r="M52" s="45">
        <f>G52*'נתוני עזר'!$G$20</f>
        <v>4168800</v>
      </c>
      <c r="N52" s="45" t="str">
        <f t="shared" si="6"/>
        <v>טיסה לקפריסין</v>
      </c>
      <c r="O52" s="45" t="str">
        <f t="shared" si="7"/>
        <v>תלוש לארוחת בוקר זוגית</v>
      </c>
      <c r="P52" s="45" t="str">
        <f t="shared" si="8"/>
        <v>טיסה לקפריסין</v>
      </c>
      <c r="Q52" t="str">
        <f t="shared" si="9"/>
        <v>אוקטובר</v>
      </c>
      <c r="R52">
        <f t="shared" si="10"/>
        <v>2025</v>
      </c>
      <c r="S52">
        <f t="shared" si="15"/>
        <v>900000</v>
      </c>
      <c r="T52">
        <f t="shared" si="16"/>
        <v>0.3</v>
      </c>
      <c r="U52">
        <f t="shared" si="17"/>
        <v>127000</v>
      </c>
    </row>
    <row r="53" spans="1:30" x14ac:dyDescent="0.2">
      <c r="A53" s="1">
        <v>49</v>
      </c>
      <c r="B53" s="3" t="s">
        <v>17</v>
      </c>
      <c r="C53" s="5" t="s">
        <v>63</v>
      </c>
      <c r="D53" s="1">
        <v>4</v>
      </c>
      <c r="E53" s="1">
        <v>135</v>
      </c>
      <c r="F53" s="3" t="s">
        <v>11</v>
      </c>
      <c r="G53" s="2">
        <v>852000</v>
      </c>
      <c r="H53" s="4">
        <v>45845</v>
      </c>
      <c r="I53" t="str">
        <f t="shared" si="12"/>
        <v>קטנה</v>
      </c>
      <c r="J53" s="21">
        <f t="shared" si="13"/>
        <v>135250</v>
      </c>
      <c r="K53" s="21" cm="1">
        <f t="array" ref="K53">_xlfn.XLOOKUP(G53,'נתוני עזר'!$F$12:$F$15,_xlfn.XLOOKUP(B53,'נתוני עזר'!$G$11:$M$11,'נתוני עזר'!$G$12:$M$15),,-1)*G53</f>
        <v>42600</v>
      </c>
      <c r="L53" s="41">
        <f t="shared" si="14"/>
        <v>46029</v>
      </c>
      <c r="M53" s="45">
        <f>G53*'נתוני עזר'!$G$20</f>
        <v>3067200</v>
      </c>
      <c r="N53" s="45" t="str">
        <f t="shared" si="6"/>
        <v>לא זכאי להטבה</v>
      </c>
      <c r="O53" s="45" t="str">
        <f t="shared" si="7"/>
        <v>תלוש לארוחת בוקר זוגית</v>
      </c>
      <c r="P53" s="45" t="str">
        <f t="shared" si="8"/>
        <v>טיסה ללונדון</v>
      </c>
      <c r="Q53" t="str">
        <f t="shared" si="9"/>
        <v>יולי</v>
      </c>
      <c r="R53">
        <f t="shared" si="10"/>
        <v>2025</v>
      </c>
      <c r="S53">
        <f t="shared" si="15"/>
        <v>850000</v>
      </c>
      <c r="T53">
        <f t="shared" si="16"/>
        <v>0.25</v>
      </c>
      <c r="U53">
        <f t="shared" si="17"/>
        <v>114500</v>
      </c>
    </row>
    <row r="54" spans="1:30" x14ac:dyDescent="0.2">
      <c r="A54" s="1">
        <v>50</v>
      </c>
      <c r="B54" s="3" t="s">
        <v>6</v>
      </c>
      <c r="C54" s="5" t="s">
        <v>64</v>
      </c>
      <c r="D54" s="1">
        <v>1.5</v>
      </c>
      <c r="E54" s="1">
        <v>38</v>
      </c>
      <c r="F54" s="3" t="s">
        <v>11</v>
      </c>
      <c r="G54" s="2">
        <v>1230000</v>
      </c>
      <c r="H54" s="4">
        <v>45879</v>
      </c>
      <c r="I54" t="str">
        <f t="shared" si="12"/>
        <v>קטנה</v>
      </c>
      <c r="J54" s="21">
        <f t="shared" si="13"/>
        <v>231700</v>
      </c>
      <c r="K54" s="21" cm="1">
        <f t="array" ref="K54">_xlfn.XLOOKUP(G54,'נתוני עזר'!$F$12:$F$15,_xlfn.XLOOKUP(B54,'נתוני עזר'!$G$11:$M$11,'נתוני עזר'!$G$12:$M$15),,-1)*G54</f>
        <v>110700</v>
      </c>
      <c r="L54" s="41">
        <f t="shared" si="14"/>
        <v>46063</v>
      </c>
      <c r="M54" s="45">
        <f>G54*'נתוני עזר'!$G$20</f>
        <v>4428000</v>
      </c>
      <c r="N54" s="45" t="str">
        <f t="shared" si="6"/>
        <v>הופעה בזאפה</v>
      </c>
      <c r="O54" s="45" t="str">
        <f t="shared" si="7"/>
        <v>הופעה בזאפה</v>
      </c>
      <c r="P54" s="45" t="str">
        <f t="shared" si="8"/>
        <v>טיסה לקפריסין</v>
      </c>
      <c r="Q54" t="str">
        <f t="shared" si="9"/>
        <v>אוגוסט</v>
      </c>
      <c r="R54">
        <f t="shared" si="10"/>
        <v>2025</v>
      </c>
      <c r="S54">
        <f t="shared" si="15"/>
        <v>900000</v>
      </c>
      <c r="T54">
        <f t="shared" si="16"/>
        <v>0.3</v>
      </c>
      <c r="U54">
        <f t="shared" si="17"/>
        <v>127000</v>
      </c>
    </row>
    <row r="55" spans="1:30" x14ac:dyDescent="0.2">
      <c r="A55" s="1">
        <v>51</v>
      </c>
      <c r="B55" s="3" t="s">
        <v>6</v>
      </c>
      <c r="C55" s="5" t="s">
        <v>65</v>
      </c>
      <c r="D55" s="1">
        <v>3</v>
      </c>
      <c r="E55" s="1">
        <v>68</v>
      </c>
      <c r="F55" s="3" t="s">
        <v>11</v>
      </c>
      <c r="G55" s="2">
        <v>414000</v>
      </c>
      <c r="H55" s="4">
        <v>45763</v>
      </c>
      <c r="I55" t="str">
        <f t="shared" si="12"/>
        <v>קטנה</v>
      </c>
      <c r="J55" s="21">
        <f t="shared" si="13"/>
        <v>51880</v>
      </c>
      <c r="K55" s="21" cm="1">
        <f t="array" ref="K55">_xlfn.XLOOKUP(G55,'נתוני עזר'!$F$12:$F$15,_xlfn.XLOOKUP(B55,'נתוני עזר'!$G$11:$M$11,'נתוני עזר'!$G$12:$M$15),,-1)*G55</f>
        <v>8280</v>
      </c>
      <c r="L55" s="41">
        <f t="shared" si="14"/>
        <v>45946</v>
      </c>
      <c r="M55" s="45">
        <f>G55*'נתוני עזר'!$G$20</f>
        <v>1490400</v>
      </c>
      <c r="N55" s="45" t="str">
        <f t="shared" si="6"/>
        <v>תלוש לארוחת בוקר זוגית</v>
      </c>
      <c r="O55" s="45" t="str">
        <f t="shared" si="7"/>
        <v>תלוש לארוחת בוקר זוגית</v>
      </c>
      <c r="P55" s="45" t="str">
        <f t="shared" si="8"/>
        <v>טיסה ללונדון</v>
      </c>
      <c r="Q55" t="str">
        <f t="shared" si="9"/>
        <v>אפריל</v>
      </c>
      <c r="R55">
        <f t="shared" si="10"/>
        <v>2025</v>
      </c>
      <c r="S55">
        <f t="shared" si="15"/>
        <v>400000</v>
      </c>
      <c r="T55">
        <f t="shared" si="16"/>
        <v>0.12</v>
      </c>
      <c r="U55">
        <f t="shared" si="17"/>
        <v>40000</v>
      </c>
    </row>
    <row r="56" spans="1:30" x14ac:dyDescent="0.2">
      <c r="A56" s="1">
        <v>52</v>
      </c>
      <c r="B56" s="3" t="s">
        <v>20</v>
      </c>
      <c r="C56" s="5" t="s">
        <v>66</v>
      </c>
      <c r="D56" s="1">
        <v>8</v>
      </c>
      <c r="E56" s="1">
        <v>210</v>
      </c>
      <c r="F56" s="3" t="s">
        <v>11</v>
      </c>
      <c r="G56" s="2">
        <v>2786000</v>
      </c>
      <c r="H56" s="4">
        <v>45674</v>
      </c>
      <c r="I56" t="str">
        <f t="shared" si="12"/>
        <v>גדולה</v>
      </c>
      <c r="J56" s="21">
        <f t="shared" si="13"/>
        <v>724300</v>
      </c>
      <c r="K56" s="21" cm="1">
        <f t="array" ref="K56">_xlfn.XLOOKUP(G56,'נתוני עזר'!$F$12:$F$15,_xlfn.XLOOKUP(B56,'נתוני עזר'!$G$11:$M$11,'נתוני עזר'!$G$12:$M$15),,-1)*G56</f>
        <v>111440</v>
      </c>
      <c r="L56" s="41">
        <f t="shared" si="14"/>
        <v>45855</v>
      </c>
      <c r="M56" s="45">
        <f>G56*'נתוני עזר'!$G$20</f>
        <v>10029600</v>
      </c>
      <c r="N56" s="45" t="str">
        <f t="shared" si="6"/>
        <v>לא זכאי להטבה</v>
      </c>
      <c r="O56" s="45" t="str">
        <f t="shared" si="7"/>
        <v>תלוש לארוחת בוקר זוגית</v>
      </c>
      <c r="P56" s="45" t="str">
        <f t="shared" si="8"/>
        <v>טיסה לפריז</v>
      </c>
      <c r="Q56" t="str">
        <f t="shared" si="9"/>
        <v>ינואר</v>
      </c>
      <c r="R56">
        <f t="shared" si="10"/>
        <v>2025</v>
      </c>
      <c r="S56">
        <f t="shared" si="15"/>
        <v>900000</v>
      </c>
      <c r="T56">
        <f t="shared" si="16"/>
        <v>0.3</v>
      </c>
      <c r="U56">
        <f t="shared" si="17"/>
        <v>127000</v>
      </c>
    </row>
    <row r="57" spans="1:30" x14ac:dyDescent="0.2">
      <c r="A57" s="1">
        <v>53</v>
      </c>
      <c r="B57" s="3" t="s">
        <v>15</v>
      </c>
      <c r="C57" s="5" t="s">
        <v>67</v>
      </c>
      <c r="D57" s="1">
        <v>3</v>
      </c>
      <c r="E57" s="1">
        <v>74</v>
      </c>
      <c r="F57" s="3" t="s">
        <v>11</v>
      </c>
      <c r="G57" s="2">
        <v>378000</v>
      </c>
      <c r="H57" s="4">
        <v>45770</v>
      </c>
      <c r="I57" t="str">
        <f t="shared" si="12"/>
        <v>קטנה</v>
      </c>
      <c r="J57" s="21">
        <f t="shared" si="13"/>
        <v>48900</v>
      </c>
      <c r="K57" s="21" cm="1">
        <f t="array" ref="K57">_xlfn.XLOOKUP(G57,'נתוני עזר'!$F$12:$F$15,_xlfn.XLOOKUP(B57,'נתוני עזר'!$G$11:$M$11,'נתוני עזר'!$G$12:$M$15),,-1)*G57</f>
        <v>3780</v>
      </c>
      <c r="L57" s="41">
        <f t="shared" si="14"/>
        <v>45953</v>
      </c>
      <c r="M57" s="45">
        <f>G57*'נתוני עזר'!$G$20</f>
        <v>1360800</v>
      </c>
      <c r="N57" s="45" t="str">
        <f t="shared" si="6"/>
        <v>טיסה ללונדון</v>
      </c>
      <c r="O57" s="45" t="str">
        <f t="shared" si="7"/>
        <v>תלוש לארוחת בוקר זוגית</v>
      </c>
      <c r="P57" s="45" t="str">
        <f t="shared" si="8"/>
        <v>טיסה ללונדון</v>
      </c>
      <c r="Q57" t="str">
        <f t="shared" si="9"/>
        <v>אפריל</v>
      </c>
      <c r="R57">
        <f t="shared" si="10"/>
        <v>2025</v>
      </c>
      <c r="S57">
        <f t="shared" si="15"/>
        <v>0</v>
      </c>
      <c r="T57">
        <f t="shared" si="16"/>
        <v>0.1</v>
      </c>
      <c r="U57">
        <f t="shared" si="17"/>
        <v>0</v>
      </c>
    </row>
    <row r="58" spans="1:30" x14ac:dyDescent="0.2">
      <c r="A58" s="1">
        <v>54</v>
      </c>
      <c r="B58" s="3" t="s">
        <v>22</v>
      </c>
      <c r="C58" s="5" t="s">
        <v>68</v>
      </c>
      <c r="D58" s="1">
        <v>3</v>
      </c>
      <c r="E58" s="1">
        <v>65</v>
      </c>
      <c r="F58" s="3" t="s">
        <v>11</v>
      </c>
      <c r="G58" s="2">
        <v>394123</v>
      </c>
      <c r="H58" s="4">
        <v>45700</v>
      </c>
      <c r="I58" t="str">
        <f t="shared" si="12"/>
        <v>קטנה</v>
      </c>
      <c r="J58" s="21">
        <f t="shared" si="13"/>
        <v>49162.3</v>
      </c>
      <c r="K58" s="21" cm="1">
        <f t="array" ref="K58">_xlfn.XLOOKUP(G58,'נתוני עזר'!$F$12:$F$15,_xlfn.XLOOKUP(B58,'נתוני עזר'!$G$11:$M$11,'נתוני עזר'!$G$12:$M$15),,-1)*G58</f>
        <v>11823.689999999999</v>
      </c>
      <c r="L58" s="41">
        <f t="shared" si="14"/>
        <v>45881</v>
      </c>
      <c r="M58" s="45">
        <f>G58*'נתוני עזר'!$G$20</f>
        <v>1418842.8</v>
      </c>
      <c r="N58" s="45" t="str">
        <f t="shared" si="6"/>
        <v>לא זכאי להטבה</v>
      </c>
      <c r="O58" s="45" t="str">
        <f t="shared" si="7"/>
        <v>תלוש לארוחת בוקר זוגית</v>
      </c>
      <c r="P58" s="45" t="str">
        <f t="shared" si="8"/>
        <v>טיסה ללונדון</v>
      </c>
      <c r="Q58" t="str">
        <f t="shared" si="9"/>
        <v>פברואר</v>
      </c>
      <c r="R58">
        <f t="shared" si="10"/>
        <v>2025</v>
      </c>
      <c r="S58">
        <f t="shared" si="15"/>
        <v>0</v>
      </c>
      <c r="T58">
        <f t="shared" si="16"/>
        <v>0.1</v>
      </c>
      <c r="U58">
        <f t="shared" si="17"/>
        <v>0</v>
      </c>
    </row>
    <row r="59" spans="1:30" x14ac:dyDescent="0.2">
      <c r="A59" s="1">
        <v>55</v>
      </c>
      <c r="B59" s="3" t="s">
        <v>20</v>
      </c>
      <c r="C59" s="5" t="s">
        <v>55</v>
      </c>
      <c r="D59" s="1">
        <v>4.5</v>
      </c>
      <c r="E59" s="1">
        <v>124</v>
      </c>
      <c r="F59" s="3" t="s">
        <v>11</v>
      </c>
      <c r="G59" s="2">
        <v>888000</v>
      </c>
      <c r="H59" s="4">
        <v>45780</v>
      </c>
      <c r="I59" t="str">
        <f t="shared" si="12"/>
        <v>בינונית</v>
      </c>
      <c r="J59" s="21">
        <f t="shared" si="13"/>
        <v>142600</v>
      </c>
      <c r="K59" s="21" cm="1">
        <f t="array" ref="K59">_xlfn.XLOOKUP(G59,'נתוני עזר'!$F$12:$F$15,_xlfn.XLOOKUP(B59,'נתוני עזר'!$G$11:$M$11,'נתוני עזר'!$G$12:$M$15),,-1)*G59</f>
        <v>53280</v>
      </c>
      <c r="L59" s="41">
        <f t="shared" si="14"/>
        <v>45964</v>
      </c>
      <c r="M59" s="45">
        <f>G59*'נתוני עזר'!$G$20</f>
        <v>3196800</v>
      </c>
      <c r="N59" s="45" t="str">
        <f t="shared" si="6"/>
        <v>לא זכאי להטבה</v>
      </c>
      <c r="O59" s="45" t="str">
        <f t="shared" si="7"/>
        <v>תלוש לארוחת בוקר זוגית</v>
      </c>
      <c r="P59" s="45" t="str">
        <f t="shared" si="8"/>
        <v>טיסה ללונדון</v>
      </c>
      <c r="Q59" t="str">
        <f t="shared" si="9"/>
        <v>מאי</v>
      </c>
      <c r="R59">
        <f t="shared" si="10"/>
        <v>2025</v>
      </c>
      <c r="S59">
        <f t="shared" si="15"/>
        <v>850000</v>
      </c>
      <c r="T59">
        <f t="shared" si="16"/>
        <v>0.25</v>
      </c>
      <c r="U59">
        <f t="shared" si="17"/>
        <v>114500</v>
      </c>
    </row>
    <row r="60" spans="1:30" x14ac:dyDescent="0.2">
      <c r="A60" s="1">
        <v>56</v>
      </c>
      <c r="B60" s="3" t="s">
        <v>15</v>
      </c>
      <c r="C60" s="5" t="s">
        <v>69</v>
      </c>
      <c r="D60" s="1">
        <v>3</v>
      </c>
      <c r="E60" s="1">
        <v>72</v>
      </c>
      <c r="F60" s="1" t="s">
        <v>8</v>
      </c>
      <c r="G60" s="2">
        <v>336000</v>
      </c>
      <c r="H60" s="4">
        <v>45816</v>
      </c>
      <c r="I60" t="str">
        <f t="shared" si="12"/>
        <v>קטנה</v>
      </c>
      <c r="J60" s="21">
        <f t="shared" si="13"/>
        <v>44400</v>
      </c>
      <c r="K60" s="21" cm="1">
        <f t="array" ref="K60">_xlfn.XLOOKUP(G60,'נתוני עזר'!$F$12:$F$15,_xlfn.XLOOKUP(B60,'נתוני עזר'!$G$11:$M$11,'נתוני עזר'!$G$12:$M$15),,-1)*G60</f>
        <v>3360</v>
      </c>
      <c r="L60" s="41">
        <f t="shared" si="14"/>
        <v>45999</v>
      </c>
      <c r="M60" s="45">
        <f>G60*'נתוני עזר'!$G$20</f>
        <v>1209600</v>
      </c>
      <c r="N60" s="45" t="str">
        <f t="shared" si="6"/>
        <v>טיסה ללונדון</v>
      </c>
      <c r="O60" s="45" t="str">
        <f t="shared" si="7"/>
        <v>תלוש לארוחת בוקר זוגית</v>
      </c>
      <c r="P60" s="45" t="str">
        <f t="shared" si="8"/>
        <v>טיסה ללונדון</v>
      </c>
      <c r="Q60" t="str">
        <f t="shared" si="9"/>
        <v>יוני</v>
      </c>
      <c r="R60">
        <f t="shared" si="10"/>
        <v>2025</v>
      </c>
      <c r="S60">
        <f t="shared" si="15"/>
        <v>0</v>
      </c>
      <c r="T60">
        <f t="shared" si="16"/>
        <v>0.1</v>
      </c>
      <c r="U60">
        <f t="shared" si="17"/>
        <v>0</v>
      </c>
    </row>
    <row r="61" spans="1:30" x14ac:dyDescent="0.2">
      <c r="A61" s="1">
        <v>57</v>
      </c>
      <c r="B61" s="3" t="s">
        <v>17</v>
      </c>
      <c r="C61" s="5" t="s">
        <v>70</v>
      </c>
      <c r="D61" s="1">
        <v>2</v>
      </c>
      <c r="E61" s="1">
        <v>50</v>
      </c>
      <c r="F61" s="3" t="s">
        <v>11</v>
      </c>
      <c r="G61" s="2">
        <v>768000</v>
      </c>
      <c r="H61" s="4">
        <v>45942</v>
      </c>
      <c r="I61" t="str">
        <f t="shared" si="12"/>
        <v>קטנה</v>
      </c>
      <c r="J61" s="21">
        <f t="shared" si="13"/>
        <v>105600</v>
      </c>
      <c r="K61" s="21" cm="1">
        <f t="array" ref="K61">_xlfn.XLOOKUP(G61,'נתוני עזר'!$F$12:$F$15,_xlfn.XLOOKUP(B61,'נתוני עזר'!$G$11:$M$11,'נתוני עזר'!$G$12:$M$15),,-1)*G61</f>
        <v>38400</v>
      </c>
      <c r="L61" s="41">
        <f t="shared" si="14"/>
        <v>46113</v>
      </c>
      <c r="M61" s="45">
        <f>G61*'נתוני עזר'!$G$20</f>
        <v>2764800</v>
      </c>
      <c r="N61" s="45" t="str">
        <f t="shared" si="6"/>
        <v>לא זכאי להטבה</v>
      </c>
      <c r="O61" s="45" t="str">
        <f t="shared" si="7"/>
        <v>תלוש לארוחת בוקר זוגית</v>
      </c>
      <c r="P61" s="45" t="str">
        <f t="shared" si="8"/>
        <v>טיסה לקפריסין</v>
      </c>
      <c r="Q61" t="str">
        <f t="shared" si="9"/>
        <v>אוקטובר</v>
      </c>
      <c r="R61">
        <f t="shared" si="10"/>
        <v>2025</v>
      </c>
      <c r="S61">
        <f t="shared" si="15"/>
        <v>650000</v>
      </c>
      <c r="T61">
        <f t="shared" si="16"/>
        <v>0.2</v>
      </c>
      <c r="U61">
        <f t="shared" si="17"/>
        <v>74500</v>
      </c>
      <c r="Y61" s="3" t="s">
        <v>6</v>
      </c>
      <c r="Z61">
        <f t="shared" ref="Z61:Z66" si="18">COUNTIF(B5:B66,Y61)</f>
        <v>13</v>
      </c>
    </row>
    <row r="62" spans="1:30" x14ac:dyDescent="0.2">
      <c r="A62" s="1">
        <v>58</v>
      </c>
      <c r="B62" s="3" t="s">
        <v>20</v>
      </c>
      <c r="C62" s="5" t="s">
        <v>71</v>
      </c>
      <c r="D62" s="1">
        <v>3</v>
      </c>
      <c r="E62" s="1">
        <v>75</v>
      </c>
      <c r="F62" s="3" t="s">
        <v>11</v>
      </c>
      <c r="G62" s="2">
        <v>1308000</v>
      </c>
      <c r="H62" s="4">
        <v>45665</v>
      </c>
      <c r="I62" t="str">
        <f t="shared" si="12"/>
        <v>גדולה</v>
      </c>
      <c r="J62" s="21">
        <f t="shared" si="13"/>
        <v>260650</v>
      </c>
      <c r="K62" s="21" cm="1">
        <f t="array" ref="K62">_xlfn.XLOOKUP(G62,'נתוני עזר'!$F$12:$F$15,_xlfn.XLOOKUP(B62,'נתוני עזר'!$G$11:$M$11,'נתוני עזר'!$G$12:$M$15),,-1)*G62</f>
        <v>52320</v>
      </c>
      <c r="L62" s="41">
        <f t="shared" si="14"/>
        <v>45846</v>
      </c>
      <c r="M62" s="45">
        <f>G62*'נתוני עזר'!$G$20</f>
        <v>4708800</v>
      </c>
      <c r="N62" s="45" t="str">
        <f t="shared" si="6"/>
        <v>לא זכאי להטבה</v>
      </c>
      <c r="O62" s="45" t="str">
        <f t="shared" si="7"/>
        <v>תלוש לארוחת בוקר זוגית</v>
      </c>
      <c r="P62" s="45" t="str">
        <f t="shared" si="8"/>
        <v>טיסה ללונדון</v>
      </c>
      <c r="Q62" t="str">
        <f t="shared" si="9"/>
        <v>ינואר</v>
      </c>
      <c r="R62">
        <f t="shared" si="10"/>
        <v>2025</v>
      </c>
      <c r="S62">
        <f t="shared" si="15"/>
        <v>900000</v>
      </c>
      <c r="T62">
        <f t="shared" si="16"/>
        <v>0.3</v>
      </c>
      <c r="U62">
        <f t="shared" si="17"/>
        <v>127000</v>
      </c>
      <c r="Y62" s="3" t="s">
        <v>9</v>
      </c>
      <c r="Z62">
        <f t="shared" si="18"/>
        <v>5</v>
      </c>
      <c r="AB62" s="37" t="s">
        <v>109</v>
      </c>
      <c r="AC62" s="37" t="str">
        <f>_xlfn.XLOOKUP(MAX(Z61:Z67),$Z$61:$Z$67,$Y$61:$Y$67)</f>
        <v>ראשון לציון</v>
      </c>
    </row>
    <row r="63" spans="1:30" x14ac:dyDescent="0.2">
      <c r="A63" s="1">
        <v>59</v>
      </c>
      <c r="B63" s="3" t="s">
        <v>6</v>
      </c>
      <c r="C63" s="5" t="s">
        <v>72</v>
      </c>
      <c r="D63" s="1">
        <v>2</v>
      </c>
      <c r="E63" s="1">
        <v>38</v>
      </c>
      <c r="F63" s="3" t="s">
        <v>11</v>
      </c>
      <c r="G63" s="2">
        <v>369000</v>
      </c>
      <c r="H63" s="4">
        <v>45992</v>
      </c>
      <c r="I63" t="str">
        <f t="shared" si="12"/>
        <v>קטנה</v>
      </c>
      <c r="J63" s="21">
        <f t="shared" si="13"/>
        <v>42600</v>
      </c>
      <c r="K63" s="21" cm="1">
        <f t="array" ref="K63">_xlfn.XLOOKUP(G63,'נתוני עזר'!$F$12:$F$15,_xlfn.XLOOKUP(B63,'נתוני עזר'!$G$11:$M$11,'נתוני עזר'!$G$12:$M$15),,-1)*G63</f>
        <v>7380</v>
      </c>
      <c r="L63" s="41">
        <f t="shared" si="14"/>
        <v>46113</v>
      </c>
      <c r="M63" s="45">
        <f>G63*'נתוני עזר'!$G$20</f>
        <v>1328400</v>
      </c>
      <c r="N63" s="45" t="str">
        <f t="shared" si="6"/>
        <v>הופעה בזאפה</v>
      </c>
      <c r="O63" s="45" t="str">
        <f t="shared" si="7"/>
        <v>הופעה בזאפה</v>
      </c>
      <c r="P63" s="45" t="str">
        <f t="shared" si="8"/>
        <v>טיסה לקפריסין</v>
      </c>
      <c r="Q63" t="str">
        <f t="shared" si="9"/>
        <v>דצמבר</v>
      </c>
      <c r="R63">
        <f t="shared" si="10"/>
        <v>2025</v>
      </c>
      <c r="S63">
        <f t="shared" si="15"/>
        <v>0</v>
      </c>
      <c r="T63">
        <f t="shared" si="16"/>
        <v>0.1</v>
      </c>
      <c r="U63">
        <f t="shared" si="17"/>
        <v>0</v>
      </c>
      <c r="Y63" s="3" t="s">
        <v>12</v>
      </c>
      <c r="Z63">
        <f t="shared" si="18"/>
        <v>7</v>
      </c>
    </row>
    <row r="64" spans="1:30" x14ac:dyDescent="0.2">
      <c r="A64" s="1">
        <v>60</v>
      </c>
      <c r="B64" s="3" t="s">
        <v>15</v>
      </c>
      <c r="C64" s="5" t="s">
        <v>73</v>
      </c>
      <c r="D64" s="1">
        <v>5</v>
      </c>
      <c r="E64" s="1">
        <v>150</v>
      </c>
      <c r="F64" s="3" t="s">
        <v>11</v>
      </c>
      <c r="G64" s="2">
        <v>648000</v>
      </c>
      <c r="H64" s="4">
        <v>45682</v>
      </c>
      <c r="I64" t="str">
        <f t="shared" si="12"/>
        <v>קטנה</v>
      </c>
      <c r="J64" s="21">
        <f t="shared" si="13"/>
        <v>96700</v>
      </c>
      <c r="K64" s="21" cm="1">
        <f t="array" ref="K64">_xlfn.XLOOKUP(G64,'נתוני עזר'!$F$12:$F$15,_xlfn.XLOOKUP(B64,'נתוני עזר'!$G$11:$M$11,'נתוני עזר'!$G$12:$M$15),,-1)*G64</f>
        <v>32400</v>
      </c>
      <c r="L64" s="41">
        <f t="shared" si="14"/>
        <v>45863</v>
      </c>
      <c r="M64" s="45">
        <f>G64*'נתוני עזר'!$G$20</f>
        <v>2332800</v>
      </c>
      <c r="N64" s="45" t="str">
        <f t="shared" si="6"/>
        <v>טיסה לפריז</v>
      </c>
      <c r="O64" s="45" t="str">
        <f t="shared" si="7"/>
        <v>תלוש לארוחת בוקר זוגית</v>
      </c>
      <c r="P64" s="45" t="str">
        <f t="shared" si="8"/>
        <v>טיסה לפריז</v>
      </c>
      <c r="Q64" t="str">
        <f t="shared" si="9"/>
        <v>ינואר</v>
      </c>
      <c r="R64">
        <f t="shared" si="10"/>
        <v>2025</v>
      </c>
      <c r="S64">
        <f t="shared" si="15"/>
        <v>500000</v>
      </c>
      <c r="T64">
        <f t="shared" si="16"/>
        <v>0.15</v>
      </c>
      <c r="U64">
        <f t="shared" si="17"/>
        <v>52000</v>
      </c>
      <c r="Y64" s="3" t="s">
        <v>15</v>
      </c>
      <c r="Z64">
        <f t="shared" si="18"/>
        <v>12</v>
      </c>
    </row>
    <row r="65" spans="1:26" x14ac:dyDescent="0.2">
      <c r="A65" s="1">
        <v>61</v>
      </c>
      <c r="B65" s="3" t="s">
        <v>17</v>
      </c>
      <c r="C65" s="5" t="s">
        <v>74</v>
      </c>
      <c r="D65" s="1">
        <v>2</v>
      </c>
      <c r="E65" s="1">
        <v>40</v>
      </c>
      <c r="F65" s="3" t="s">
        <v>11</v>
      </c>
      <c r="G65" s="2">
        <v>400000</v>
      </c>
      <c r="H65" s="4">
        <v>45670</v>
      </c>
      <c r="I65" t="str">
        <f t="shared" si="12"/>
        <v>קטנה</v>
      </c>
      <c r="J65" s="21">
        <f t="shared" si="13"/>
        <v>46000</v>
      </c>
      <c r="K65" s="21" cm="1">
        <f t="array" ref="K65">_xlfn.XLOOKUP(G65,'נתוני עזר'!$F$12:$F$15,_xlfn.XLOOKUP(B65,'נתוני עזר'!$G$11:$M$11,'נתוני עזר'!$G$12:$M$15),,-1)*G65</f>
        <v>8000</v>
      </c>
      <c r="L65" s="41">
        <f t="shared" si="14"/>
        <v>46113</v>
      </c>
      <c r="M65" s="45">
        <f>G65*'נתוני עזר'!$G$20</f>
        <v>1440000</v>
      </c>
      <c r="N65" s="45" t="str">
        <f t="shared" si="6"/>
        <v>לא זכאי להטבה</v>
      </c>
      <c r="O65" s="45" t="str">
        <f t="shared" si="7"/>
        <v>הופעה בזאפה</v>
      </c>
      <c r="P65" s="45" t="str">
        <f t="shared" si="8"/>
        <v>טיסה לקפריסין</v>
      </c>
      <c r="Q65" t="str">
        <f t="shared" si="9"/>
        <v>ינואר</v>
      </c>
      <c r="R65">
        <f t="shared" si="10"/>
        <v>2025</v>
      </c>
      <c r="S65">
        <f t="shared" si="15"/>
        <v>400000</v>
      </c>
      <c r="T65">
        <f t="shared" si="16"/>
        <v>0.12</v>
      </c>
      <c r="U65">
        <f t="shared" si="17"/>
        <v>40000</v>
      </c>
      <c r="Y65" s="3" t="s">
        <v>17</v>
      </c>
      <c r="Z65">
        <f t="shared" si="18"/>
        <v>10</v>
      </c>
    </row>
    <row r="66" spans="1:26" x14ac:dyDescent="0.2">
      <c r="A66" s="1">
        <v>62</v>
      </c>
      <c r="B66" s="3" t="s">
        <v>6</v>
      </c>
      <c r="C66" s="5" t="s">
        <v>75</v>
      </c>
      <c r="D66" s="1">
        <v>4</v>
      </c>
      <c r="E66" s="1">
        <v>125</v>
      </c>
      <c r="F66" s="3" t="s">
        <v>11</v>
      </c>
      <c r="G66" s="2">
        <v>1164000</v>
      </c>
      <c r="H66" s="4">
        <v>45682</v>
      </c>
      <c r="I66" t="str">
        <f t="shared" si="12"/>
        <v>קטנה</v>
      </c>
      <c r="J66" s="21">
        <f t="shared" si="13"/>
        <v>224950</v>
      </c>
      <c r="K66" s="21" cm="1">
        <f t="array" ref="K66">_xlfn.XLOOKUP(G66,'נתוני עזר'!$F$12:$F$15,_xlfn.XLOOKUP(B66,'נתוני עזר'!$G$11:$M$11,'נתוני עזר'!$G$12:$M$15),,-1)*G66</f>
        <v>104760</v>
      </c>
      <c r="L66" s="41">
        <f t="shared" si="14"/>
        <v>45863</v>
      </c>
      <c r="M66" s="45">
        <f>G66*'נתוני עזר'!$G$20</f>
        <v>4190400</v>
      </c>
      <c r="N66" s="45" t="str">
        <f t="shared" si="6"/>
        <v>תלוש לארוחת בוקר זוגית</v>
      </c>
      <c r="O66" s="45" t="str">
        <f t="shared" si="7"/>
        <v>תלוש לארוחת בוקר זוגית</v>
      </c>
      <c r="P66" s="45" t="str">
        <f t="shared" si="8"/>
        <v>טיסה ללונדון</v>
      </c>
      <c r="Q66" t="str">
        <f t="shared" si="9"/>
        <v>ינואר</v>
      </c>
      <c r="R66">
        <f t="shared" si="10"/>
        <v>2025</v>
      </c>
      <c r="S66">
        <f t="shared" si="15"/>
        <v>900000</v>
      </c>
      <c r="T66">
        <f t="shared" si="16"/>
        <v>0.3</v>
      </c>
      <c r="U66">
        <f t="shared" si="17"/>
        <v>127000</v>
      </c>
      <c r="Y66" s="3" t="s">
        <v>20</v>
      </c>
      <c r="Z66">
        <f t="shared" si="18"/>
        <v>7</v>
      </c>
    </row>
    <row r="67" spans="1:26" x14ac:dyDescent="0.2">
      <c r="N67" s="45" t="str">
        <f t="shared" si="6"/>
        <v>לא זכאי להטבה</v>
      </c>
      <c r="O67" s="45" t="str">
        <f t="shared" si="7"/>
        <v>הופעה בזאפה</v>
      </c>
      <c r="P67" s="45" t="str">
        <f t="shared" si="8"/>
        <v>טיסה לקפריסין</v>
      </c>
      <c r="U67" s="3" t="s">
        <v>22</v>
      </c>
      <c r="V67">
        <f>COUNTIF(B11:B72,U67)</f>
        <v>8</v>
      </c>
    </row>
    <row r="69" spans="1:26" x14ac:dyDescent="0.2">
      <c r="G69" s="25"/>
    </row>
    <row r="70" spans="1:26" x14ac:dyDescent="0.2">
      <c r="C70"/>
      <c r="Q70" t="s">
        <v>118</v>
      </c>
    </row>
    <row r="71" spans="1:26" ht="25.5" x14ac:dyDescent="0.2">
      <c r="C71"/>
      <c r="Q71" s="45">
        <f>AVERAGE(M5:M66)</f>
        <v>3457588.5870967745</v>
      </c>
      <c r="X71" s="15" t="s">
        <v>117</v>
      </c>
      <c r="Y71" s="12" t="s">
        <v>1</v>
      </c>
    </row>
    <row r="72" spans="1:26" x14ac:dyDescent="0.2">
      <c r="C72"/>
      <c r="Y72" s="3" t="s">
        <v>17</v>
      </c>
    </row>
    <row r="73" spans="1:26" x14ac:dyDescent="0.2">
      <c r="C73"/>
      <c r="Y73" s="3" t="s">
        <v>20</v>
      </c>
    </row>
    <row r="74" spans="1:26" x14ac:dyDescent="0.2">
      <c r="C74"/>
      <c r="X74" s="44" t="s">
        <v>119</v>
      </c>
    </row>
    <row r="75" spans="1:26" x14ac:dyDescent="0.2">
      <c r="C75"/>
    </row>
    <row r="76" spans="1:26" x14ac:dyDescent="0.2">
      <c r="C76"/>
    </row>
    <row r="77" spans="1:26" x14ac:dyDescent="0.2">
      <c r="C77"/>
    </row>
    <row r="78" spans="1:26" x14ac:dyDescent="0.2">
      <c r="C78"/>
    </row>
    <row r="79" spans="1:26" x14ac:dyDescent="0.2">
      <c r="C79"/>
    </row>
    <row r="80" spans="1:26" x14ac:dyDescent="0.2">
      <c r="C80"/>
    </row>
    <row r="81" spans="3:3" x14ac:dyDescent="0.2">
      <c r="C81"/>
    </row>
    <row r="82" spans="3:3" x14ac:dyDescent="0.2">
      <c r="C82"/>
    </row>
    <row r="83" spans="3:3" x14ac:dyDescent="0.2">
      <c r="C83"/>
    </row>
    <row r="84" spans="3:3" x14ac:dyDescent="0.2">
      <c r="C84"/>
    </row>
  </sheetData>
  <mergeCells count="1">
    <mergeCell ref="A2:H2"/>
  </mergeCells>
  <pageMargins left="0.7" right="0.7" top="0.75" bottom="0.75" header="0.3" footer="0.3"/>
  <pageSetup orientation="portrait" verticalDpi="30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" operator="containsText" id="{7D765D04-C4EA-4FB9-B148-811185ACD202}">
            <xm:f>NOT(ISERROR(SEARCH($W$42,N5)))</xm:f>
            <xm:f>$W$42</xm:f>
            <x14:dxf>
              <font>
                <color theme="5"/>
              </font>
              <fill>
                <patternFill>
                  <bgColor rgb="FFFFFF00"/>
                </patternFill>
              </fill>
            </x14:dxf>
          </x14:cfRule>
          <xm:sqref>N5:N67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215BCF-8E0A-4A40-B3A9-19BB802FB7E4}">
  <dimension ref="A3:B12"/>
  <sheetViews>
    <sheetView rightToLeft="1" workbookViewId="0">
      <selection activeCell="A3" sqref="A3:B12"/>
    </sheetView>
  </sheetViews>
  <sheetFormatPr defaultRowHeight="14.25" x14ac:dyDescent="0.2"/>
  <cols>
    <col min="1" max="1" width="12" bestFit="1" customWidth="1"/>
    <col min="2" max="2" width="22.125" bestFit="1" customWidth="1"/>
  </cols>
  <sheetData>
    <row r="3" spans="1:2" x14ac:dyDescent="0.2">
      <c r="A3" s="42" t="s">
        <v>113</v>
      </c>
      <c r="B3" t="s">
        <v>116</v>
      </c>
    </row>
    <row r="4" spans="1:2" x14ac:dyDescent="0.2">
      <c r="A4" s="6" t="s">
        <v>15</v>
      </c>
      <c r="B4" s="43">
        <v>8376000</v>
      </c>
    </row>
    <row r="5" spans="1:2" x14ac:dyDescent="0.2">
      <c r="A5" s="6" t="s">
        <v>17</v>
      </c>
      <c r="B5" s="43">
        <v>9312000</v>
      </c>
    </row>
    <row r="6" spans="1:2" x14ac:dyDescent="0.2">
      <c r="A6" s="6" t="s">
        <v>9</v>
      </c>
      <c r="B6" s="43">
        <v>6786000</v>
      </c>
    </row>
    <row r="7" spans="1:2" x14ac:dyDescent="0.2">
      <c r="A7" s="6" t="s">
        <v>22</v>
      </c>
      <c r="B7" s="43">
        <v>6610123</v>
      </c>
    </row>
    <row r="8" spans="1:2" x14ac:dyDescent="0.2">
      <c r="A8" s="6" t="s">
        <v>12</v>
      </c>
      <c r="B8" s="43">
        <v>5100000</v>
      </c>
    </row>
    <row r="9" spans="1:2" x14ac:dyDescent="0.2">
      <c r="A9" s="6" t="s">
        <v>20</v>
      </c>
      <c r="B9" s="43">
        <v>9623236</v>
      </c>
    </row>
    <row r="10" spans="1:2" x14ac:dyDescent="0.2">
      <c r="A10" s="6" t="s">
        <v>6</v>
      </c>
      <c r="B10" s="43">
        <v>13740000</v>
      </c>
    </row>
    <row r="11" spans="1:2" x14ac:dyDescent="0.2">
      <c r="A11" s="6" t="s">
        <v>114</v>
      </c>
      <c r="B11" s="43"/>
    </row>
    <row r="12" spans="1:2" x14ac:dyDescent="0.2">
      <c r="A12" s="6" t="s">
        <v>115</v>
      </c>
      <c r="B12" s="43">
        <v>59547359</v>
      </c>
    </row>
  </sheetData>
  <pageMargins left="0.7" right="0.7" top="0.75" bottom="0.75" header="0.3" footer="0.3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B9F792-F043-484B-A4F5-546F47F47554}">
  <dimension ref="A1:D33"/>
  <sheetViews>
    <sheetView rightToLeft="1" workbookViewId="0">
      <selection sqref="A1:D1"/>
    </sheetView>
  </sheetViews>
  <sheetFormatPr defaultRowHeight="14.25" x14ac:dyDescent="0.2"/>
  <cols>
    <col min="4" max="4" width="13.25" customWidth="1"/>
  </cols>
  <sheetData>
    <row r="1" spans="1:4" ht="38.25" x14ac:dyDescent="0.2">
      <c r="A1" s="12" t="s">
        <v>0</v>
      </c>
      <c r="B1" s="12" t="s">
        <v>1</v>
      </c>
      <c r="C1" s="14" t="s">
        <v>77</v>
      </c>
      <c r="D1" s="15" t="s">
        <v>117</v>
      </c>
    </row>
    <row r="2" spans="1:4" x14ac:dyDescent="0.2">
      <c r="A2" s="1">
        <v>2</v>
      </c>
      <c r="B2" s="3" t="s">
        <v>9</v>
      </c>
      <c r="C2" s="2">
        <v>1452000</v>
      </c>
      <c r="D2" s="45">
        <v>5227200</v>
      </c>
    </row>
    <row r="3" spans="1:4" x14ac:dyDescent="0.2">
      <c r="A3" s="1">
        <v>6</v>
      </c>
      <c r="B3" s="3" t="s">
        <v>17</v>
      </c>
      <c r="C3" s="2">
        <v>990000</v>
      </c>
      <c r="D3" s="45">
        <v>3564000</v>
      </c>
    </row>
    <row r="4" spans="1:4" x14ac:dyDescent="0.2">
      <c r="A4" s="1">
        <v>8</v>
      </c>
      <c r="B4" s="3" t="s">
        <v>20</v>
      </c>
      <c r="C4" s="2">
        <v>726000</v>
      </c>
      <c r="D4" s="45">
        <v>2613600</v>
      </c>
    </row>
    <row r="5" spans="1:4" x14ac:dyDescent="0.2">
      <c r="A5" s="1">
        <v>10</v>
      </c>
      <c r="B5" s="3" t="s">
        <v>6</v>
      </c>
      <c r="C5" s="2">
        <v>1332000</v>
      </c>
      <c r="D5" s="45">
        <v>4795200</v>
      </c>
    </row>
    <row r="6" spans="1:4" x14ac:dyDescent="0.2">
      <c r="A6" s="1">
        <v>12</v>
      </c>
      <c r="B6" s="3" t="s">
        <v>20</v>
      </c>
      <c r="C6" s="2">
        <v>441236</v>
      </c>
      <c r="D6" s="45">
        <v>1588449.6</v>
      </c>
    </row>
    <row r="7" spans="1:4" x14ac:dyDescent="0.2">
      <c r="A7" s="1">
        <v>13</v>
      </c>
      <c r="B7" s="3" t="s">
        <v>17</v>
      </c>
      <c r="C7" s="2">
        <v>380000</v>
      </c>
      <c r="D7" s="45">
        <v>1368000</v>
      </c>
    </row>
    <row r="8" spans="1:4" x14ac:dyDescent="0.2">
      <c r="A8" s="1">
        <v>15</v>
      </c>
      <c r="B8" s="3" t="s">
        <v>9</v>
      </c>
      <c r="C8" s="2">
        <v>1278000</v>
      </c>
      <c r="D8" s="45">
        <v>4600800</v>
      </c>
    </row>
    <row r="9" spans="1:4" x14ac:dyDescent="0.2">
      <c r="A9" s="1">
        <v>16</v>
      </c>
      <c r="B9" s="3" t="s">
        <v>17</v>
      </c>
      <c r="C9" s="2">
        <v>420000</v>
      </c>
      <c r="D9" s="45">
        <v>1512000</v>
      </c>
    </row>
    <row r="10" spans="1:4" x14ac:dyDescent="0.2">
      <c r="A10" s="1">
        <v>21</v>
      </c>
      <c r="B10" s="3" t="s">
        <v>6</v>
      </c>
      <c r="C10" s="2">
        <v>2660000</v>
      </c>
      <c r="D10" s="45">
        <v>9576000</v>
      </c>
    </row>
    <row r="11" spans="1:4" x14ac:dyDescent="0.2">
      <c r="A11" s="1">
        <v>22</v>
      </c>
      <c r="B11" s="3" t="s">
        <v>20</v>
      </c>
      <c r="C11" s="2">
        <v>414000</v>
      </c>
      <c r="D11" s="45">
        <v>1490400</v>
      </c>
    </row>
    <row r="12" spans="1:4" x14ac:dyDescent="0.2">
      <c r="A12" s="1">
        <v>24</v>
      </c>
      <c r="B12" s="3" t="s">
        <v>15</v>
      </c>
      <c r="C12" s="2">
        <v>1290000</v>
      </c>
      <c r="D12" s="45">
        <v>4644000</v>
      </c>
    </row>
    <row r="13" spans="1:4" x14ac:dyDescent="0.2">
      <c r="A13" s="1">
        <v>27</v>
      </c>
      <c r="B13" s="3" t="s">
        <v>15</v>
      </c>
      <c r="C13" s="2">
        <v>1128000</v>
      </c>
      <c r="D13" s="45">
        <v>4060800</v>
      </c>
    </row>
    <row r="14" spans="1:4" x14ac:dyDescent="0.2">
      <c r="A14" s="1">
        <v>28</v>
      </c>
      <c r="B14" s="3" t="s">
        <v>17</v>
      </c>
      <c r="C14" s="2">
        <v>2460000</v>
      </c>
      <c r="D14" s="45">
        <v>8856000</v>
      </c>
    </row>
    <row r="15" spans="1:4" x14ac:dyDescent="0.2">
      <c r="A15" s="1">
        <v>29</v>
      </c>
      <c r="B15" s="3" t="s">
        <v>6</v>
      </c>
      <c r="C15" s="2">
        <v>2880000</v>
      </c>
      <c r="D15" s="45">
        <v>10368000</v>
      </c>
    </row>
    <row r="16" spans="1:4" x14ac:dyDescent="0.2">
      <c r="A16" s="1">
        <v>30</v>
      </c>
      <c r="B16" s="3" t="s">
        <v>17</v>
      </c>
      <c r="C16" s="2">
        <v>1470000</v>
      </c>
      <c r="D16" s="45">
        <v>5292000</v>
      </c>
    </row>
    <row r="17" spans="1:4" x14ac:dyDescent="0.2">
      <c r="A17" s="1">
        <v>33</v>
      </c>
      <c r="B17" s="3" t="s">
        <v>12</v>
      </c>
      <c r="C17" s="2">
        <v>1320000</v>
      </c>
      <c r="D17" s="45">
        <v>4752000</v>
      </c>
    </row>
    <row r="18" spans="1:4" x14ac:dyDescent="0.2">
      <c r="A18" s="1">
        <v>34</v>
      </c>
      <c r="B18" s="3" t="s">
        <v>9</v>
      </c>
      <c r="C18" s="2">
        <v>2808000</v>
      </c>
      <c r="D18" s="45">
        <v>10108800</v>
      </c>
    </row>
    <row r="19" spans="1:4" x14ac:dyDescent="0.2">
      <c r="A19" s="1">
        <v>36</v>
      </c>
      <c r="B19" s="3" t="s">
        <v>22</v>
      </c>
      <c r="C19" s="2">
        <v>2370000</v>
      </c>
      <c r="D19" s="45">
        <v>8532000</v>
      </c>
    </row>
    <row r="20" spans="1:4" x14ac:dyDescent="0.2">
      <c r="A20" s="1">
        <v>39</v>
      </c>
      <c r="B20" s="3" t="s">
        <v>17</v>
      </c>
      <c r="C20" s="2">
        <v>960000</v>
      </c>
      <c r="D20" s="45">
        <v>3456000</v>
      </c>
    </row>
    <row r="21" spans="1:4" x14ac:dyDescent="0.2">
      <c r="A21" s="1">
        <v>40</v>
      </c>
      <c r="B21" s="3" t="s">
        <v>6</v>
      </c>
      <c r="C21" s="2">
        <v>1470000</v>
      </c>
      <c r="D21" s="45">
        <v>5292000</v>
      </c>
    </row>
    <row r="22" spans="1:4" x14ac:dyDescent="0.2">
      <c r="A22" s="1">
        <v>42</v>
      </c>
      <c r="B22" s="3" t="s">
        <v>17</v>
      </c>
      <c r="C22" s="2">
        <v>612000</v>
      </c>
      <c r="D22" s="45">
        <v>2203200</v>
      </c>
    </row>
    <row r="23" spans="1:4" x14ac:dyDescent="0.2">
      <c r="A23" s="1">
        <v>43</v>
      </c>
      <c r="B23" s="3" t="s">
        <v>20</v>
      </c>
      <c r="C23" s="2">
        <v>3060000</v>
      </c>
      <c r="D23" s="45">
        <v>11016000</v>
      </c>
    </row>
    <row r="24" spans="1:4" x14ac:dyDescent="0.2">
      <c r="A24" s="1">
        <v>46</v>
      </c>
      <c r="B24" s="3" t="s">
        <v>22</v>
      </c>
      <c r="C24" s="2">
        <v>1020000</v>
      </c>
      <c r="D24" s="45">
        <v>3672000</v>
      </c>
    </row>
    <row r="25" spans="1:4" x14ac:dyDescent="0.2">
      <c r="A25" s="1">
        <v>48</v>
      </c>
      <c r="B25" s="3" t="s">
        <v>15</v>
      </c>
      <c r="C25" s="2">
        <v>1158000</v>
      </c>
      <c r="D25" s="45">
        <v>4168800</v>
      </c>
    </row>
    <row r="26" spans="1:4" x14ac:dyDescent="0.2">
      <c r="A26" s="1">
        <v>49</v>
      </c>
      <c r="B26" s="3" t="s">
        <v>17</v>
      </c>
      <c r="C26" s="2">
        <v>852000</v>
      </c>
      <c r="D26" s="45">
        <v>3067200</v>
      </c>
    </row>
    <row r="27" spans="1:4" x14ac:dyDescent="0.2">
      <c r="A27" s="1">
        <v>50</v>
      </c>
      <c r="B27" s="3" t="s">
        <v>6</v>
      </c>
      <c r="C27" s="2">
        <v>1230000</v>
      </c>
      <c r="D27" s="45">
        <v>4428000</v>
      </c>
    </row>
    <row r="28" spans="1:4" x14ac:dyDescent="0.2">
      <c r="A28" s="1">
        <v>52</v>
      </c>
      <c r="B28" s="3" t="s">
        <v>20</v>
      </c>
      <c r="C28" s="2">
        <v>2786000</v>
      </c>
      <c r="D28" s="45">
        <v>10029600</v>
      </c>
    </row>
    <row r="29" spans="1:4" x14ac:dyDescent="0.2">
      <c r="A29" s="1">
        <v>55</v>
      </c>
      <c r="B29" s="3" t="s">
        <v>20</v>
      </c>
      <c r="C29" s="2">
        <v>888000</v>
      </c>
      <c r="D29" s="45">
        <v>3196800</v>
      </c>
    </row>
    <row r="30" spans="1:4" x14ac:dyDescent="0.2">
      <c r="A30" s="1">
        <v>57</v>
      </c>
      <c r="B30" s="3" t="s">
        <v>17</v>
      </c>
      <c r="C30" s="2">
        <v>768000</v>
      </c>
      <c r="D30" s="45">
        <v>2764800</v>
      </c>
    </row>
    <row r="31" spans="1:4" x14ac:dyDescent="0.2">
      <c r="A31" s="1">
        <v>58</v>
      </c>
      <c r="B31" s="3" t="s">
        <v>20</v>
      </c>
      <c r="C31" s="2">
        <v>1308000</v>
      </c>
      <c r="D31" s="45">
        <v>4708800</v>
      </c>
    </row>
    <row r="32" spans="1:4" x14ac:dyDescent="0.2">
      <c r="A32" s="1">
        <v>61</v>
      </c>
      <c r="B32" s="3" t="s">
        <v>17</v>
      </c>
      <c r="C32" s="2">
        <v>400000</v>
      </c>
      <c r="D32" s="45">
        <v>1440000</v>
      </c>
    </row>
    <row r="33" spans="1:4" x14ac:dyDescent="0.2">
      <c r="A33" s="1">
        <v>62</v>
      </c>
      <c r="B33" s="3" t="s">
        <v>6</v>
      </c>
      <c r="C33" s="2">
        <v>1164000</v>
      </c>
      <c r="D33" s="45">
        <v>4190400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2FFC25-EAEF-45EC-B0E5-920061040052}">
  <dimension ref="F8:M20"/>
  <sheetViews>
    <sheetView rightToLeft="1" zoomScale="80" zoomScaleNormal="80" workbookViewId="0">
      <selection activeCell="G20" sqref="G20"/>
    </sheetView>
  </sheetViews>
  <sheetFormatPr defaultRowHeight="15" x14ac:dyDescent="0.2"/>
  <cols>
    <col min="1" max="1" width="16.625" style="7" customWidth="1"/>
    <col min="2" max="5" width="9" style="7"/>
    <col min="6" max="6" width="19" style="7" customWidth="1"/>
    <col min="7" max="7" width="11.25" style="7" customWidth="1"/>
    <col min="8" max="8" width="9" style="7"/>
    <col min="9" max="9" width="12" style="7" customWidth="1"/>
    <col min="10" max="10" width="13.5" style="7" customWidth="1"/>
    <col min="11" max="11" width="11.25" style="7" customWidth="1"/>
    <col min="12" max="12" width="9" style="7"/>
    <col min="13" max="13" width="11.5" style="7" customWidth="1"/>
    <col min="14" max="16384" width="9" style="7"/>
  </cols>
  <sheetData>
    <row r="8" spans="6:13" ht="15.75" x14ac:dyDescent="0.25">
      <c r="F8" s="49" t="s">
        <v>79</v>
      </c>
      <c r="G8" s="49"/>
      <c r="H8" s="49"/>
      <c r="I8" s="49"/>
      <c r="J8" s="49"/>
      <c r="K8" s="49"/>
      <c r="L8" s="49"/>
      <c r="M8" s="49"/>
    </row>
    <row r="11" spans="6:13" ht="15.75" x14ac:dyDescent="0.25">
      <c r="F11" s="9" t="s">
        <v>78</v>
      </c>
      <c r="G11" s="10" t="s">
        <v>6</v>
      </c>
      <c r="H11" s="10" t="s">
        <v>9</v>
      </c>
      <c r="I11" s="10" t="s">
        <v>12</v>
      </c>
      <c r="J11" s="10" t="s">
        <v>15</v>
      </c>
      <c r="K11" s="10" t="s">
        <v>17</v>
      </c>
      <c r="L11" s="10" t="s">
        <v>20</v>
      </c>
      <c r="M11" s="10" t="s">
        <v>22</v>
      </c>
    </row>
    <row r="12" spans="6:13" x14ac:dyDescent="0.2">
      <c r="F12" s="11">
        <v>200000</v>
      </c>
      <c r="G12" s="8">
        <v>0.02</v>
      </c>
      <c r="H12" s="8">
        <v>0.05</v>
      </c>
      <c r="I12" s="8">
        <v>0.02</v>
      </c>
      <c r="J12" s="8">
        <v>0.01</v>
      </c>
      <c r="K12" s="8">
        <v>0.02</v>
      </c>
      <c r="L12" s="8">
        <v>0.02</v>
      </c>
      <c r="M12" s="8">
        <v>0.03</v>
      </c>
    </row>
    <row r="13" spans="6:13" x14ac:dyDescent="0.2">
      <c r="F13" s="11">
        <v>450000</v>
      </c>
      <c r="G13" s="8">
        <v>0.03</v>
      </c>
      <c r="H13" s="8">
        <v>0.06</v>
      </c>
      <c r="I13" s="8">
        <v>0.03</v>
      </c>
      <c r="J13" s="8">
        <v>0.02</v>
      </c>
      <c r="K13" s="8">
        <v>0.03</v>
      </c>
      <c r="L13" s="8">
        <v>0.05</v>
      </c>
      <c r="M13" s="8">
        <v>0.05</v>
      </c>
    </row>
    <row r="14" spans="6:13" x14ac:dyDescent="0.2">
      <c r="F14" s="11">
        <v>600000</v>
      </c>
      <c r="G14" s="8">
        <v>0.05</v>
      </c>
      <c r="H14" s="8">
        <v>7.0000000000000007E-2</v>
      </c>
      <c r="I14" s="8">
        <v>0.03</v>
      </c>
      <c r="J14" s="8">
        <v>0.05</v>
      </c>
      <c r="K14" s="8">
        <v>0.05</v>
      </c>
      <c r="L14" s="8">
        <v>0.06</v>
      </c>
      <c r="M14" s="8">
        <v>0.06</v>
      </c>
    </row>
    <row r="15" spans="6:13" x14ac:dyDescent="0.2">
      <c r="F15" s="11">
        <v>1000000</v>
      </c>
      <c r="G15" s="8">
        <v>0.09</v>
      </c>
      <c r="H15" s="8">
        <v>0.09</v>
      </c>
      <c r="I15" s="8">
        <v>0.06</v>
      </c>
      <c r="J15" s="8">
        <v>0.06</v>
      </c>
      <c r="K15" s="8">
        <v>7.0000000000000007E-2</v>
      </c>
      <c r="L15" s="8">
        <v>0.04</v>
      </c>
      <c r="M15" s="8">
        <v>7.0000000000000007E-2</v>
      </c>
    </row>
    <row r="20" spans="6:7" ht="15.75" x14ac:dyDescent="0.25">
      <c r="F20" s="9" t="s">
        <v>81</v>
      </c>
      <c r="G20" s="9">
        <v>3.6</v>
      </c>
    </row>
  </sheetData>
  <mergeCells count="1">
    <mergeCell ref="F8:M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1</vt:i4>
      </vt:variant>
    </vt:vector>
  </HeadingPairs>
  <TitlesOfParts>
    <vt:vector size="5" baseType="lpstr">
      <vt:lpstr>עסקאות</vt:lpstr>
      <vt:lpstr>עסקאות בכל עיר</vt:lpstr>
      <vt:lpstr>דוח מכירות ראשי</vt:lpstr>
      <vt:lpstr>נתוני עזר</vt:lpstr>
      <vt:lpstr>'דוח מכירות ראשי'!Extract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שירי יגאנה</dc:creator>
  <cp:lastModifiedBy>academic26</cp:lastModifiedBy>
  <dcterms:created xsi:type="dcterms:W3CDTF">2017-01-28T16:17:04Z</dcterms:created>
  <dcterms:modified xsi:type="dcterms:W3CDTF">2026-02-08T09:18:32Z</dcterms:modified>
</cp:coreProperties>
</file>