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drawings/drawing4.xml" ContentType="application/vnd.openxmlformats-officedocument.drawing+xml"/>
  <Override PartName="/xl/ink/ink845.xml" ContentType="application/inkml+xml"/>
  <Override PartName="/xl/ink/ink846.xml" ContentType="application/inkml+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משתמש\Downloads\"/>
    </mc:Choice>
  </mc:AlternateContent>
  <xr:revisionPtr revIDLastSave="0" documentId="13_ncr:1_{B8C8A494-C799-4CC5-B09A-ED710A77A592}" xr6:coauthVersionLast="47" xr6:coauthVersionMax="47" xr10:uidLastSave="{00000000-0000-0000-0000-000000000000}"/>
  <bookViews>
    <workbookView xWindow="-108" yWindow="-108" windowWidth="30936" windowHeight="16896" tabRatio="878" xr2:uid="{00000000-000D-0000-FFFF-FFFF00000000}"/>
  </bookViews>
  <sheets>
    <sheet name="טיפים" sheetId="19" r:id="rId1"/>
    <sheet name="xlookup" sheetId="2" r:id="rId2"/>
    <sheet name="xlookup+xlookup" sheetId="3" r:id="rId3"/>
    <sheet name="xlookup בתוך xlookup" sheetId="4" r:id="rId4"/>
    <sheet name="X בתוך X רופאים" sheetId="21" r:id="rId5"/>
    <sheet name="רופאים נתוני עזר" sheetId="24" r:id="rId6"/>
    <sheet name="IF בתוך IF רופאים" sheetId="22" r:id="rId7"/>
    <sheet name="IF בתוך IF" sheetId="12" r:id="rId8"/>
    <sheet name="If+Date" sheetId="5" r:id="rId9"/>
    <sheet name="Dsum" sheetId="9" r:id="rId10"/>
    <sheet name="פרוגרסיבי 1" sheetId="23" r:id="rId11"/>
    <sheet name="CountIf" sheetId="7" r:id="rId12"/>
    <sheet name="AverageIf" sheetId="8" r:id="rId13"/>
    <sheet name="סינון מתקדם" sheetId="10" r:id="rId14"/>
    <sheet name="ניתוח רגישות + חתירה למטרה DSUM" sheetId="14" r:id="rId15"/>
    <sheet name="frequency" sheetId="17" r:id="rId16"/>
    <sheet name="ריבוי תנאים" sheetId="16"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'IF בתוך IF רופאים'!$A$1:$G$1</definedName>
    <definedName name="_xlnm._FilterDatabase" localSheetId="4" hidden="1">'X בתוך X רופאים'!$A$1:$G$1</definedName>
    <definedName name="_xlnm._FilterDatabase" localSheetId="13" hidden="1">'סינון מתקדם'!$A$1:$N$28</definedName>
    <definedName name="_xlnm._FilterDatabase" localSheetId="10" hidden="1">'פרוגרסיבי 1'!$A$1:$K$21</definedName>
    <definedName name="_xlnm.Criteria" localSheetId="10">'פרוגרסיבי 1'!#REF!</definedName>
    <definedName name="_xlnm.Extract" localSheetId="10">'פרוגרסיבי 1'!#REF!</definedName>
    <definedName name="grades" localSheetId="10">'פרוגרסיבי 1'!#REF!</definedName>
    <definedName name="grades">#REF!</definedName>
    <definedName name="Q1A_1">'[1]נתוני עזר'!$A$2</definedName>
    <definedName name="Q1A_2">'[1]נתוני עזר'!$A$6</definedName>
    <definedName name="Q1A_3">'[1]נתוני עזר'!$A$3</definedName>
    <definedName name="Q1A_KRIA">'[1]נתוני עזר'!$A$4</definedName>
    <definedName name="TAX" localSheetId="6">'IF בתוך IF רופאים'!$K$63:$M$67</definedName>
    <definedName name="TAX">'X בתוך X רופאים'!$K$63:$N$67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 i="5" l="1"/>
  <c r="K3" i="23"/>
  <c r="K4" i="23"/>
  <c r="K5" i="23"/>
  <c r="K6" i="23"/>
  <c r="K7" i="23"/>
  <c r="K8" i="23"/>
  <c r="K9" i="23"/>
  <c r="K10" i="23"/>
  <c r="K11" i="23"/>
  <c r="K12" i="23"/>
  <c r="K13" i="23"/>
  <c r="K2" i="23"/>
  <c r="L3" i="23"/>
  <c r="L4" i="23"/>
  <c r="L5" i="23"/>
  <c r="L6" i="23"/>
  <c r="L7" i="23"/>
  <c r="L8" i="23"/>
  <c r="L9" i="23"/>
  <c r="L10" i="23"/>
  <c r="L11" i="23"/>
  <c r="L12" i="23"/>
  <c r="L13" i="23"/>
  <c r="L2" i="23"/>
  <c r="P3" i="23"/>
  <c r="P4" i="23"/>
  <c r="P5" i="23"/>
  <c r="P6" i="23"/>
  <c r="P7" i="23"/>
  <c r="P8" i="23"/>
  <c r="P9" i="23"/>
  <c r="P10" i="23"/>
  <c r="P11" i="23"/>
  <c r="P12" i="23"/>
  <c r="P13" i="23"/>
  <c r="P2" i="23"/>
  <c r="O3" i="23"/>
  <c r="O4" i="23"/>
  <c r="O5" i="23"/>
  <c r="O6" i="23"/>
  <c r="O7" i="23"/>
  <c r="O8" i="23"/>
  <c r="O9" i="23"/>
  <c r="O10" i="23"/>
  <c r="O11" i="23"/>
  <c r="O12" i="23"/>
  <c r="O13" i="23"/>
  <c r="O2" i="23"/>
  <c r="N3" i="23"/>
  <c r="N4" i="23"/>
  <c r="N5" i="23"/>
  <c r="N6" i="23"/>
  <c r="N7" i="23"/>
  <c r="N8" i="23"/>
  <c r="N9" i="23"/>
  <c r="N10" i="23"/>
  <c r="N11" i="23"/>
  <c r="N12" i="23"/>
  <c r="N13" i="23"/>
  <c r="N2" i="23"/>
  <c r="P19" i="23"/>
  <c r="P20" i="23" s="1"/>
  <c r="P21" i="23" s="1"/>
  <c r="P22" i="23" s="1"/>
  <c r="J3" i="5"/>
  <c r="J4" i="5"/>
  <c r="J5" i="5"/>
  <c r="J6" i="5"/>
  <c r="J7" i="5"/>
  <c r="J8" i="5"/>
  <c r="J9" i="5"/>
  <c r="J10" i="5"/>
  <c r="J11" i="5"/>
  <c r="J12" i="5"/>
  <c r="J13" i="5"/>
  <c r="J14" i="5"/>
  <c r="J15" i="5"/>
  <c r="J16" i="5"/>
  <c r="J17" i="5"/>
  <c r="J18" i="5"/>
  <c r="J19" i="5"/>
  <c r="J20" i="5"/>
  <c r="J21" i="5"/>
  <c r="J22" i="5"/>
  <c r="J23" i="5"/>
  <c r="J24" i="5"/>
  <c r="J25" i="5"/>
  <c r="J26" i="5"/>
  <c r="J2" i="5"/>
  <c r="V3" i="5"/>
  <c r="V4" i="5"/>
  <c r="V5" i="5"/>
  <c r="V6" i="5"/>
  <c r="V7" i="5"/>
  <c r="V8" i="5"/>
  <c r="V10" i="5"/>
  <c r="V11" i="5"/>
  <c r="V12" i="5"/>
  <c r="V13" i="5"/>
  <c r="V14" i="5"/>
  <c r="V15" i="5"/>
  <c r="V16" i="5"/>
  <c r="V17" i="5"/>
  <c r="V18" i="5"/>
  <c r="V19" i="5"/>
  <c r="V20" i="5"/>
  <c r="V21" i="5"/>
  <c r="V22" i="5"/>
  <c r="V23" i="5"/>
  <c r="V24" i="5"/>
  <c r="V25" i="5"/>
  <c r="V26" i="5"/>
  <c r="V27" i="5"/>
  <c r="V28" i="5"/>
  <c r="V29" i="5"/>
  <c r="V30" i="5"/>
  <c r="V31" i="5"/>
  <c r="V32" i="5"/>
  <c r="V2" i="5"/>
  <c r="U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2" i="5"/>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2" i="5"/>
  <c r="N3" i="22"/>
  <c r="N4" i="22"/>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2" i="22"/>
  <c r="O3" i="22"/>
  <c r="O4" i="22"/>
  <c r="O5" i="22"/>
  <c r="O6"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2" i="22"/>
  <c r="P3" i="22"/>
  <c r="P4" i="22"/>
  <c r="P5" i="22"/>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2" i="22"/>
  <c r="O3" i="21"/>
  <c r="M3" i="21" s="1" a="1"/>
  <c r="M3" i="21" s="1"/>
  <c r="L3" i="21" s="1"/>
  <c r="O4" i="21"/>
  <c r="M4" i="21" s="1" a="1"/>
  <c r="M4" i="21" s="1"/>
  <c r="L4" i="21" s="1"/>
  <c r="O5" i="21"/>
  <c r="M5" i="21" s="1" a="1"/>
  <c r="M5" i="21" s="1"/>
  <c r="L5" i="21" s="1"/>
  <c r="O6" i="21"/>
  <c r="M6" i="21" s="1" a="1"/>
  <c r="M6" i="21" s="1"/>
  <c r="L6" i="21" s="1"/>
  <c r="O7" i="21"/>
  <c r="M7" i="21" s="1" a="1"/>
  <c r="M7" i="21" s="1"/>
  <c r="L7" i="21" s="1"/>
  <c r="O8" i="21"/>
  <c r="M8" i="21" s="1" a="1"/>
  <c r="M8" i="21" s="1"/>
  <c r="L8" i="21" s="1"/>
  <c r="O9" i="21"/>
  <c r="M9" i="21" s="1" a="1"/>
  <c r="M9" i="21" s="1"/>
  <c r="L9" i="21" s="1"/>
  <c r="O10" i="21"/>
  <c r="M10" i="21" s="1" a="1"/>
  <c r="M10" i="21" s="1"/>
  <c r="L10" i="21" s="1"/>
  <c r="O11" i="21"/>
  <c r="M11" i="21" s="1" a="1"/>
  <c r="M11" i="21" s="1"/>
  <c r="L11" i="21" s="1"/>
  <c r="O12" i="21"/>
  <c r="M12" i="21" s="1" a="1"/>
  <c r="M12" i="21" s="1"/>
  <c r="L12" i="21" s="1"/>
  <c r="O13" i="21"/>
  <c r="M13" i="21" s="1" a="1"/>
  <c r="M13" i="21" s="1"/>
  <c r="L13" i="21" s="1"/>
  <c r="O14" i="21"/>
  <c r="M14" i="21" s="1" a="1"/>
  <c r="M14" i="21" s="1"/>
  <c r="L14" i="21" s="1"/>
  <c r="O15" i="21"/>
  <c r="M15" i="21" s="1" a="1"/>
  <c r="M15" i="21" s="1"/>
  <c r="L15" i="21" s="1"/>
  <c r="O16" i="21"/>
  <c r="M16" i="21" s="1" a="1"/>
  <c r="M16" i="21" s="1"/>
  <c r="L16" i="21" s="1"/>
  <c r="O17" i="21"/>
  <c r="M17" i="21" s="1" a="1"/>
  <c r="M17" i="21" s="1"/>
  <c r="L17" i="21" s="1"/>
  <c r="O18" i="21"/>
  <c r="M18" i="21" s="1" a="1"/>
  <c r="M18" i="21" s="1"/>
  <c r="L18" i="21" s="1"/>
  <c r="O19" i="21"/>
  <c r="M19" i="21" s="1" a="1"/>
  <c r="M19" i="21" s="1"/>
  <c r="L19" i="21" s="1"/>
  <c r="O20" i="21"/>
  <c r="M20" i="21" s="1" a="1"/>
  <c r="M20" i="21" s="1"/>
  <c r="L20" i="21" s="1"/>
  <c r="O21" i="21"/>
  <c r="M21" i="21" s="1" a="1"/>
  <c r="M21" i="21" s="1"/>
  <c r="L21" i="21" s="1"/>
  <c r="O22" i="21"/>
  <c r="M22" i="21" s="1" a="1"/>
  <c r="M22" i="21" s="1"/>
  <c r="L22" i="21" s="1"/>
  <c r="O23" i="21"/>
  <c r="M23" i="21" s="1" a="1"/>
  <c r="M23" i="21" s="1"/>
  <c r="L23" i="21" s="1"/>
  <c r="O24" i="21"/>
  <c r="M24" i="21" s="1" a="1"/>
  <c r="M24" i="21" s="1"/>
  <c r="L24" i="21" s="1"/>
  <c r="O25" i="21"/>
  <c r="M25" i="21" s="1" a="1"/>
  <c r="M25" i="21" s="1"/>
  <c r="L25" i="21" s="1"/>
  <c r="O26" i="21"/>
  <c r="M26" i="21" s="1" a="1"/>
  <c r="M26" i="21" s="1"/>
  <c r="L26" i="21" s="1"/>
  <c r="O27" i="21"/>
  <c r="M27" i="21" s="1" a="1"/>
  <c r="M27" i="21" s="1"/>
  <c r="L27" i="21" s="1"/>
  <c r="O28" i="21"/>
  <c r="M28" i="21" s="1" a="1"/>
  <c r="M28" i="21" s="1"/>
  <c r="L28" i="21" s="1"/>
  <c r="O29" i="21"/>
  <c r="M29" i="21" s="1" a="1"/>
  <c r="M29" i="21" s="1"/>
  <c r="L29" i="21" s="1"/>
  <c r="O30" i="21"/>
  <c r="M30" i="21" s="1" a="1"/>
  <c r="M30" i="21" s="1"/>
  <c r="L30" i="21" s="1"/>
  <c r="O31" i="21"/>
  <c r="M31" i="21" s="1" a="1"/>
  <c r="M31" i="21" s="1"/>
  <c r="L31" i="21" s="1"/>
  <c r="O32" i="21"/>
  <c r="M32" i="21" s="1" a="1"/>
  <c r="M32" i="21" s="1"/>
  <c r="L32" i="21" s="1"/>
  <c r="O33" i="21"/>
  <c r="M33" i="21" s="1" a="1"/>
  <c r="M33" i="21" s="1"/>
  <c r="L33" i="21" s="1"/>
  <c r="O34" i="21"/>
  <c r="M34" i="21" s="1" a="1"/>
  <c r="M34" i="21" s="1"/>
  <c r="L34" i="21" s="1"/>
  <c r="O35" i="21"/>
  <c r="M35" i="21" s="1" a="1"/>
  <c r="M35" i="21" s="1"/>
  <c r="L35" i="21" s="1"/>
  <c r="O36" i="21"/>
  <c r="M36" i="21" s="1" a="1"/>
  <c r="M36" i="21" s="1"/>
  <c r="L36" i="21" s="1"/>
  <c r="O37" i="21"/>
  <c r="M37" i="21" s="1" a="1"/>
  <c r="M37" i="21" s="1"/>
  <c r="L37" i="21" s="1"/>
  <c r="O38" i="21"/>
  <c r="M38" i="21" s="1" a="1"/>
  <c r="M38" i="21" s="1"/>
  <c r="L38" i="21" s="1"/>
  <c r="O39" i="21"/>
  <c r="M39" i="21" s="1" a="1"/>
  <c r="M39" i="21" s="1"/>
  <c r="L39" i="21" s="1"/>
  <c r="O40" i="21"/>
  <c r="M40" i="21" s="1" a="1"/>
  <c r="M40" i="21" s="1"/>
  <c r="L40" i="21" s="1"/>
  <c r="O41" i="21"/>
  <c r="M41" i="21" s="1" a="1"/>
  <c r="M41" i="21" s="1"/>
  <c r="L41" i="21" s="1"/>
  <c r="O42" i="21"/>
  <c r="M42" i="21" s="1" a="1"/>
  <c r="M42" i="21" s="1"/>
  <c r="L42" i="21" s="1"/>
  <c r="O43" i="21"/>
  <c r="M43" i="21" s="1" a="1"/>
  <c r="M43" i="21" s="1"/>
  <c r="L43" i="21" s="1"/>
  <c r="O44" i="21"/>
  <c r="M44" i="21" s="1" a="1"/>
  <c r="M44" i="21" s="1"/>
  <c r="L44" i="21" s="1"/>
  <c r="O45" i="21"/>
  <c r="M45" i="21" s="1" a="1"/>
  <c r="M45" i="21" s="1"/>
  <c r="L45" i="21" s="1"/>
  <c r="O46" i="21"/>
  <c r="M46" i="21" s="1" a="1"/>
  <c r="M46" i="21" s="1"/>
  <c r="L46" i="21" s="1"/>
  <c r="O47" i="21"/>
  <c r="M47" i="21" s="1" a="1"/>
  <c r="M47" i="21" s="1"/>
  <c r="L47" i="21" s="1"/>
  <c r="O48" i="21"/>
  <c r="M48" i="21" s="1" a="1"/>
  <c r="M48" i="21" s="1"/>
  <c r="L48" i="21" s="1"/>
  <c r="O49" i="21"/>
  <c r="M49" i="21" s="1" a="1"/>
  <c r="M49" i="21" s="1"/>
  <c r="L49" i="21" s="1"/>
  <c r="O50" i="21"/>
  <c r="M50" i="21" s="1" a="1"/>
  <c r="M50" i="21" s="1"/>
  <c r="L50" i="21" s="1"/>
  <c r="O51" i="21"/>
  <c r="M51" i="21" s="1" a="1"/>
  <c r="M51" i="21" s="1"/>
  <c r="L51" i="21" s="1"/>
  <c r="O52" i="21"/>
  <c r="M52" i="21" s="1" a="1"/>
  <c r="M52" i="21" s="1"/>
  <c r="L52" i="21" s="1"/>
  <c r="O53" i="21"/>
  <c r="M53" i="21" s="1" a="1"/>
  <c r="M53" i="21" s="1"/>
  <c r="L53" i="21" s="1"/>
  <c r="O54" i="21"/>
  <c r="M54" i="21" s="1" a="1"/>
  <c r="M54" i="21" s="1"/>
  <c r="L54" i="21" s="1"/>
  <c r="O55" i="21"/>
  <c r="M55" i="21" s="1" a="1"/>
  <c r="M55" i="21" s="1"/>
  <c r="L55" i="21" s="1"/>
  <c r="O56" i="21"/>
  <c r="M56" i="21" s="1" a="1"/>
  <c r="M56" i="21" s="1"/>
  <c r="L56" i="21" s="1"/>
  <c r="O57" i="21"/>
  <c r="M57" i="21" s="1" a="1"/>
  <c r="M57" i="21" s="1"/>
  <c r="L57" i="21" s="1"/>
  <c r="O58" i="21"/>
  <c r="M58" i="21" s="1" a="1"/>
  <c r="M58" i="21" s="1"/>
  <c r="L58" i="21" s="1"/>
  <c r="O59" i="21"/>
  <c r="M59" i="21" s="1" a="1"/>
  <c r="M59" i="21" s="1"/>
  <c r="L59" i="21" s="1"/>
  <c r="O60" i="21"/>
  <c r="M60" i="21" s="1" a="1"/>
  <c r="M60" i="21" s="1"/>
  <c r="L60" i="21" s="1"/>
  <c r="O2" i="21"/>
  <c r="M2" i="21" s="1" a="1"/>
  <c r="M2" i="21" s="1"/>
  <c r="L2" i="21" s="1"/>
  <c r="I3" i="4"/>
  <c r="I4" i="4"/>
  <c r="I5" i="4"/>
  <c r="I6" i="4"/>
  <c r="I7" i="4"/>
  <c r="I8" i="4"/>
  <c r="I9" i="4"/>
  <c r="I10" i="4"/>
  <c r="I11" i="4"/>
  <c r="I12" i="4"/>
  <c r="I13" i="4"/>
  <c r="I14" i="4"/>
  <c r="I15" i="4"/>
  <c r="I16" i="4"/>
  <c r="I17" i="4"/>
  <c r="I18" i="4"/>
  <c r="I19" i="4"/>
  <c r="I20" i="4"/>
  <c r="I21" i="4"/>
  <c r="I22" i="4"/>
  <c r="I23" i="4"/>
  <c r="I24" i="4"/>
  <c r="I25" i="4"/>
  <c r="I26" i="4"/>
  <c r="I2" i="4"/>
  <c r="H16" i="4"/>
  <c r="H17" i="4"/>
  <c r="G24" i="4"/>
  <c r="H24" i="4" s="1"/>
  <c r="G25" i="4"/>
  <c r="H25" i="4" s="1"/>
  <c r="F3" i="4" a="1"/>
  <c r="F3" i="4" s="1"/>
  <c r="G3" i="4" s="1"/>
  <c r="H3" i="4" s="1"/>
  <c r="F4" i="4" a="1"/>
  <c r="F4" i="4" s="1"/>
  <c r="G4" i="4" s="1"/>
  <c r="H4" i="4" s="1"/>
  <c r="F5" i="4" a="1"/>
  <c r="F5" i="4" s="1"/>
  <c r="G5" i="4" s="1"/>
  <c r="H5" i="4" s="1"/>
  <c r="F6" i="4" a="1"/>
  <c r="F6" i="4" s="1"/>
  <c r="G6" i="4" s="1"/>
  <c r="H6" i="4" s="1"/>
  <c r="F7" i="4" a="1"/>
  <c r="F7" i="4" s="1"/>
  <c r="G7" i="4" s="1"/>
  <c r="H7" i="4" s="1"/>
  <c r="F8" i="4" a="1"/>
  <c r="F8" i="4" s="1"/>
  <c r="G8" i="4" s="1"/>
  <c r="H8" i="4" s="1"/>
  <c r="F9" i="4" a="1"/>
  <c r="F9" i="4"/>
  <c r="G9" i="4" s="1"/>
  <c r="H9" i="4" s="1"/>
  <c r="F10" i="4" a="1"/>
  <c r="F10" i="4" s="1"/>
  <c r="G10" i="4" s="1"/>
  <c r="H10" i="4" s="1"/>
  <c r="F11" i="4" a="1"/>
  <c r="F11" i="4" s="1"/>
  <c r="G11" i="4" s="1"/>
  <c r="H11" i="4" s="1"/>
  <c r="F12" i="4" a="1"/>
  <c r="F12" i="4" s="1"/>
  <c r="G12" i="4" s="1"/>
  <c r="H12" i="4" s="1"/>
  <c r="F13" i="4" a="1"/>
  <c r="F13" i="4" s="1"/>
  <c r="G13" i="4" s="1"/>
  <c r="H13" i="4" s="1"/>
  <c r="F14" i="4" a="1"/>
  <c r="F14" i="4" s="1"/>
  <c r="G14" i="4" s="1"/>
  <c r="H14" i="4" s="1"/>
  <c r="F15" i="4" a="1"/>
  <c r="F15" i="4" s="1"/>
  <c r="G15" i="4" s="1"/>
  <c r="H15" i="4" s="1"/>
  <c r="F16" i="4" a="1"/>
  <c r="F16" i="4" s="1"/>
  <c r="G16" i="4" s="1"/>
  <c r="F17" i="4" a="1"/>
  <c r="F17" i="4" s="1"/>
  <c r="G17" i="4" s="1"/>
  <c r="F18" i="4" a="1"/>
  <c r="F18" i="4" s="1"/>
  <c r="G18" i="4" s="1"/>
  <c r="H18" i="4" s="1"/>
  <c r="F19" i="4" a="1"/>
  <c r="F19" i="4" s="1"/>
  <c r="G19" i="4" s="1"/>
  <c r="H19" i="4" s="1"/>
  <c r="F20" i="4" a="1"/>
  <c r="F20" i="4" s="1"/>
  <c r="G20" i="4" s="1"/>
  <c r="H20" i="4" s="1"/>
  <c r="F21" i="4" a="1"/>
  <c r="F21" i="4" s="1"/>
  <c r="G21" i="4" s="1"/>
  <c r="H21" i="4" s="1"/>
  <c r="F22" i="4" a="1"/>
  <c r="F22" i="4" s="1"/>
  <c r="G22" i="4" s="1"/>
  <c r="H22" i="4" s="1"/>
  <c r="F23" i="4" a="1"/>
  <c r="F23" i="4" s="1"/>
  <c r="G23" i="4" s="1"/>
  <c r="H23" i="4" s="1"/>
  <c r="F24" i="4" a="1"/>
  <c r="F24" i="4" s="1"/>
  <c r="F25" i="4" a="1"/>
  <c r="F25" i="4" s="1"/>
  <c r="F26" i="4" a="1"/>
  <c r="F26" i="4" s="1"/>
  <c r="G26" i="4" s="1"/>
  <c r="H26" i="4" s="1"/>
  <c r="F2" i="4" a="1"/>
  <c r="F2" i="4" s="1"/>
  <c r="G2" i="4" s="1"/>
  <c r="H2" i="4" s="1"/>
  <c r="F3" i="3"/>
  <c r="F4" i="3"/>
  <c r="F5" i="3"/>
  <c r="G5" i="3" s="1"/>
  <c r="C5" i="3" s="1"/>
  <c r="F6" i="3"/>
  <c r="G6" i="3" s="1"/>
  <c r="C6" i="3" s="1"/>
  <c r="F7" i="3"/>
  <c r="F8" i="3"/>
  <c r="F9" i="3"/>
  <c r="F10" i="3"/>
  <c r="F11" i="3"/>
  <c r="F12" i="3"/>
  <c r="F13" i="3"/>
  <c r="G13" i="3" s="1"/>
  <c r="C13" i="3" s="1"/>
  <c r="F14" i="3"/>
  <c r="G14" i="3" s="1"/>
  <c r="C14" i="3" s="1"/>
  <c r="F15" i="3"/>
  <c r="F16" i="3"/>
  <c r="F17" i="3"/>
  <c r="F18" i="3"/>
  <c r="F19" i="3"/>
  <c r="F20" i="3"/>
  <c r="F21" i="3"/>
  <c r="G21" i="3" s="1"/>
  <c r="C21" i="3" s="1"/>
  <c r="F22" i="3"/>
  <c r="G22" i="3" s="1"/>
  <c r="C22" i="3" s="1"/>
  <c r="F23" i="3"/>
  <c r="F24" i="3"/>
  <c r="F25" i="3"/>
  <c r="F26" i="3"/>
  <c r="F27" i="3"/>
  <c r="F28" i="3"/>
  <c r="F2" i="3"/>
  <c r="G2" i="3" s="1"/>
  <c r="C2" i="3" s="1"/>
  <c r="E3" i="3"/>
  <c r="E4" i="3"/>
  <c r="E5" i="3"/>
  <c r="E6" i="3"/>
  <c r="E7" i="3"/>
  <c r="E8" i="3"/>
  <c r="E9" i="3"/>
  <c r="E10" i="3"/>
  <c r="E11" i="3"/>
  <c r="E12" i="3"/>
  <c r="E13" i="3"/>
  <c r="E14" i="3"/>
  <c r="E15" i="3"/>
  <c r="E16" i="3"/>
  <c r="E17" i="3"/>
  <c r="E18" i="3"/>
  <c r="E19" i="3"/>
  <c r="E20" i="3"/>
  <c r="E21" i="3"/>
  <c r="E22" i="3"/>
  <c r="E23" i="3"/>
  <c r="E24" i="3"/>
  <c r="E25" i="3"/>
  <c r="E26" i="3"/>
  <c r="E27" i="3"/>
  <c r="E28" i="3"/>
  <c r="E2" i="3"/>
  <c r="E1" i="3"/>
  <c r="D3" i="3"/>
  <c r="D4" i="3"/>
  <c r="D5" i="3"/>
  <c r="D6" i="3"/>
  <c r="D7" i="3"/>
  <c r="D8" i="3"/>
  <c r="D9" i="3"/>
  <c r="D10" i="3"/>
  <c r="D11" i="3"/>
  <c r="D12" i="3"/>
  <c r="D13" i="3"/>
  <c r="D14" i="3"/>
  <c r="D15" i="3"/>
  <c r="D16" i="3"/>
  <c r="D17" i="3"/>
  <c r="D18" i="3"/>
  <c r="D19" i="3"/>
  <c r="D20" i="3"/>
  <c r="D21" i="3"/>
  <c r="D22" i="3"/>
  <c r="D23" i="3"/>
  <c r="D24" i="3"/>
  <c r="D25" i="3"/>
  <c r="D26" i="3"/>
  <c r="D27" i="3"/>
  <c r="D28" i="3"/>
  <c r="D2" i="3"/>
  <c r="D1" i="3"/>
  <c r="M12" i="2"/>
  <c r="M9" i="2"/>
  <c r="G23" i="3" l="1"/>
  <c r="C23" i="3" s="1"/>
  <c r="G15" i="3"/>
  <c r="C15" i="3" s="1"/>
  <c r="G7" i="3"/>
  <c r="C7" i="3" s="1"/>
  <c r="G28" i="3"/>
  <c r="C28" i="3" s="1"/>
  <c r="G20" i="3"/>
  <c r="C20" i="3" s="1"/>
  <c r="G12" i="3"/>
  <c r="C12" i="3" s="1"/>
  <c r="G4" i="3"/>
  <c r="C4" i="3" s="1"/>
  <c r="G27" i="3"/>
  <c r="C27" i="3" s="1"/>
  <c r="G19" i="3"/>
  <c r="C19" i="3" s="1"/>
  <c r="G11" i="3"/>
  <c r="C11" i="3" s="1"/>
  <c r="G3" i="3"/>
  <c r="C3" i="3" s="1"/>
  <c r="G26" i="3"/>
  <c r="C26" i="3" s="1"/>
  <c r="G18" i="3"/>
  <c r="C18" i="3" s="1"/>
  <c r="G10" i="3"/>
  <c r="C10" i="3" s="1"/>
  <c r="G25" i="3"/>
  <c r="C25" i="3" s="1"/>
  <c r="G17" i="3"/>
  <c r="C17" i="3" s="1"/>
  <c r="G9" i="3"/>
  <c r="C9" i="3" s="1"/>
  <c r="G24" i="3"/>
  <c r="C24" i="3" s="1"/>
  <c r="G16" i="3"/>
  <c r="C16" i="3" s="1"/>
  <c r="G8" i="3"/>
  <c r="C8" i="3" s="1"/>
  <c r="B70" i="22"/>
  <c r="A70" i="22"/>
  <c r="M65" i="22"/>
  <c r="M66" i="22" s="1"/>
  <c r="M67" i="22" s="1"/>
  <c r="L60" i="22"/>
  <c r="J60" i="22"/>
  <c r="K60" i="22" s="1"/>
  <c r="M60" i="22" s="1"/>
  <c r="I60" i="22"/>
  <c r="L59" i="22"/>
  <c r="J59" i="22"/>
  <c r="K59" i="22" s="1"/>
  <c r="M59" i="22" s="1"/>
  <c r="I59" i="22"/>
  <c r="L58" i="22"/>
  <c r="J58" i="22"/>
  <c r="K58" i="22" s="1"/>
  <c r="M58" i="22" s="1"/>
  <c r="I58" i="22"/>
  <c r="L57" i="22"/>
  <c r="K57" i="22"/>
  <c r="M57" i="22" s="1"/>
  <c r="J57" i="22"/>
  <c r="I57" i="22"/>
  <c r="L56" i="22"/>
  <c r="J56" i="22"/>
  <c r="K56" i="22" s="1"/>
  <c r="M56" i="22" s="1"/>
  <c r="I56" i="22"/>
  <c r="L55" i="22"/>
  <c r="J55" i="22"/>
  <c r="K55" i="22" s="1"/>
  <c r="M55" i="22" s="1"/>
  <c r="I55" i="22"/>
  <c r="L54" i="22"/>
  <c r="J54" i="22"/>
  <c r="K54" i="22" s="1"/>
  <c r="M54" i="22" s="1"/>
  <c r="I54" i="22"/>
  <c r="L53" i="22"/>
  <c r="J53" i="22"/>
  <c r="K53" i="22" s="1"/>
  <c r="M53" i="22" s="1"/>
  <c r="I53" i="22"/>
  <c r="L52" i="22"/>
  <c r="J52" i="22"/>
  <c r="K52" i="22" s="1"/>
  <c r="M52" i="22" s="1"/>
  <c r="I52" i="22"/>
  <c r="L51" i="22"/>
  <c r="J51" i="22"/>
  <c r="K51" i="22" s="1"/>
  <c r="M51" i="22" s="1"/>
  <c r="I51" i="22"/>
  <c r="L50" i="22"/>
  <c r="K50" i="22"/>
  <c r="M50" i="22" s="1"/>
  <c r="J50" i="22"/>
  <c r="I50" i="22"/>
  <c r="L49" i="22"/>
  <c r="J49" i="22"/>
  <c r="K49" i="22" s="1"/>
  <c r="M49" i="22" s="1"/>
  <c r="I49" i="22"/>
  <c r="L48" i="22"/>
  <c r="J48" i="22"/>
  <c r="K48" i="22" s="1"/>
  <c r="M48" i="22" s="1"/>
  <c r="I48" i="22"/>
  <c r="L47" i="22"/>
  <c r="J47" i="22"/>
  <c r="K47" i="22" s="1"/>
  <c r="M47" i="22" s="1"/>
  <c r="I47" i="22"/>
  <c r="L46" i="22"/>
  <c r="J46" i="22"/>
  <c r="K46" i="22" s="1"/>
  <c r="M46" i="22" s="1"/>
  <c r="I46" i="22"/>
  <c r="L45" i="22"/>
  <c r="J45" i="22"/>
  <c r="K45" i="22" s="1"/>
  <c r="M45" i="22" s="1"/>
  <c r="I45" i="22"/>
  <c r="L44" i="22"/>
  <c r="J44" i="22"/>
  <c r="K44" i="22" s="1"/>
  <c r="M44" i="22" s="1"/>
  <c r="I44" i="22"/>
  <c r="L43" i="22"/>
  <c r="K43" i="22"/>
  <c r="M43" i="22" s="1"/>
  <c r="J43" i="22"/>
  <c r="I43" i="22"/>
  <c r="L42" i="22"/>
  <c r="K42" i="22"/>
  <c r="M42" i="22" s="1"/>
  <c r="J42" i="22"/>
  <c r="I42" i="22"/>
  <c r="L41" i="22"/>
  <c r="K41" i="22"/>
  <c r="M41" i="22" s="1"/>
  <c r="J41" i="22"/>
  <c r="I41" i="22"/>
  <c r="L40" i="22"/>
  <c r="J40" i="22"/>
  <c r="K40" i="22" s="1"/>
  <c r="M40" i="22" s="1"/>
  <c r="I40" i="22"/>
  <c r="L39" i="22"/>
  <c r="J39" i="22"/>
  <c r="K39" i="22" s="1"/>
  <c r="M39" i="22" s="1"/>
  <c r="I39" i="22"/>
  <c r="L38" i="22"/>
  <c r="J38" i="22"/>
  <c r="K38" i="22" s="1"/>
  <c r="M38" i="22" s="1"/>
  <c r="I38" i="22"/>
  <c r="L37" i="22"/>
  <c r="J37" i="22"/>
  <c r="K37" i="22" s="1"/>
  <c r="M37" i="22" s="1"/>
  <c r="I37" i="22"/>
  <c r="L36" i="22"/>
  <c r="J36" i="22"/>
  <c r="K36" i="22" s="1"/>
  <c r="M36" i="22" s="1"/>
  <c r="I36" i="22"/>
  <c r="L35" i="22"/>
  <c r="J35" i="22"/>
  <c r="K35" i="22" s="1"/>
  <c r="M35" i="22" s="1"/>
  <c r="I35" i="22"/>
  <c r="L34" i="22"/>
  <c r="K34" i="22"/>
  <c r="M34" i="22" s="1"/>
  <c r="J34" i="22"/>
  <c r="I34" i="22"/>
  <c r="L33" i="22"/>
  <c r="J33" i="22"/>
  <c r="K33" i="22" s="1"/>
  <c r="M33" i="22" s="1"/>
  <c r="I33" i="22"/>
  <c r="L32" i="22"/>
  <c r="J32" i="22"/>
  <c r="K32" i="22" s="1"/>
  <c r="M32" i="22" s="1"/>
  <c r="I32" i="22"/>
  <c r="L31" i="22"/>
  <c r="J31" i="22"/>
  <c r="K31" i="22" s="1"/>
  <c r="M31" i="22" s="1"/>
  <c r="I31" i="22"/>
  <c r="L30" i="22"/>
  <c r="J30" i="22"/>
  <c r="K30" i="22" s="1"/>
  <c r="M30" i="22" s="1"/>
  <c r="I30" i="22"/>
  <c r="L29" i="22"/>
  <c r="J29" i="22"/>
  <c r="K29" i="22" s="1"/>
  <c r="M29" i="22" s="1"/>
  <c r="I29" i="22"/>
  <c r="L28" i="22"/>
  <c r="J28" i="22"/>
  <c r="K28" i="22" s="1"/>
  <c r="M28" i="22" s="1"/>
  <c r="I28" i="22"/>
  <c r="L27" i="22"/>
  <c r="K27" i="22"/>
  <c r="M27" i="22" s="1"/>
  <c r="J27" i="22"/>
  <c r="I27" i="22"/>
  <c r="L26" i="22"/>
  <c r="J26" i="22"/>
  <c r="K26" i="22" s="1"/>
  <c r="M26" i="22" s="1"/>
  <c r="I26" i="22"/>
  <c r="L25" i="22"/>
  <c r="K25" i="22"/>
  <c r="M25" i="22" s="1"/>
  <c r="J25" i="22"/>
  <c r="I25" i="22"/>
  <c r="L24" i="22"/>
  <c r="J24" i="22"/>
  <c r="K24" i="22" s="1"/>
  <c r="M24" i="22" s="1"/>
  <c r="I24" i="22"/>
  <c r="L23" i="22"/>
  <c r="J23" i="22"/>
  <c r="K23" i="22" s="1"/>
  <c r="M23" i="22" s="1"/>
  <c r="I23" i="22"/>
  <c r="L22" i="22"/>
  <c r="J22" i="22"/>
  <c r="K22" i="22" s="1"/>
  <c r="M22" i="22" s="1"/>
  <c r="I22" i="22"/>
  <c r="L21" i="22"/>
  <c r="J21" i="22"/>
  <c r="K21" i="22" s="1"/>
  <c r="M21" i="22" s="1"/>
  <c r="I21" i="22"/>
  <c r="L20" i="22"/>
  <c r="J20" i="22"/>
  <c r="K20" i="22" s="1"/>
  <c r="M20" i="22" s="1"/>
  <c r="I20" i="22"/>
  <c r="L19" i="22"/>
  <c r="K19" i="22"/>
  <c r="M19" i="22" s="1"/>
  <c r="J19" i="22"/>
  <c r="I19" i="22"/>
  <c r="L18" i="22"/>
  <c r="J18" i="22"/>
  <c r="K18" i="22" s="1"/>
  <c r="M18" i="22" s="1"/>
  <c r="I18" i="22"/>
  <c r="L17" i="22"/>
  <c r="K17" i="22"/>
  <c r="M17" i="22" s="1"/>
  <c r="J17" i="22"/>
  <c r="I17" i="22"/>
  <c r="S16" i="22"/>
  <c r="L16" i="22"/>
  <c r="K16" i="22"/>
  <c r="M16" i="22" s="1"/>
  <c r="J16" i="22"/>
  <c r="I16" i="22"/>
  <c r="L15" i="22"/>
  <c r="J15" i="22"/>
  <c r="K15" i="22" s="1"/>
  <c r="M15" i="22" s="1"/>
  <c r="I15" i="22"/>
  <c r="L14" i="22"/>
  <c r="J14" i="22"/>
  <c r="K14" i="22" s="1"/>
  <c r="M14" i="22" s="1"/>
  <c r="I14" i="22"/>
  <c r="L13" i="22"/>
  <c r="J13" i="22"/>
  <c r="K13" i="22" s="1"/>
  <c r="M13" i="22" s="1"/>
  <c r="I13" i="22"/>
  <c r="L12" i="22"/>
  <c r="J12" i="22"/>
  <c r="K12" i="22" s="1"/>
  <c r="M12" i="22" s="1"/>
  <c r="I12" i="22"/>
  <c r="L11" i="22"/>
  <c r="J11" i="22"/>
  <c r="K11" i="22" s="1"/>
  <c r="M11" i="22" s="1"/>
  <c r="I11" i="22"/>
  <c r="L10" i="22"/>
  <c r="J10" i="22"/>
  <c r="K10" i="22" s="1"/>
  <c r="M10" i="22" s="1"/>
  <c r="I10" i="22"/>
  <c r="L9" i="22"/>
  <c r="J9" i="22"/>
  <c r="K9" i="22" s="1"/>
  <c r="M9" i="22" s="1"/>
  <c r="I9" i="22"/>
  <c r="L8" i="22"/>
  <c r="J8" i="22"/>
  <c r="K8" i="22" s="1"/>
  <c r="M8" i="22" s="1"/>
  <c r="I8" i="22"/>
  <c r="L7" i="22"/>
  <c r="K7" i="22"/>
  <c r="M7" i="22" s="1"/>
  <c r="J7" i="22"/>
  <c r="I7" i="22"/>
  <c r="L6" i="22"/>
  <c r="J6" i="22"/>
  <c r="K6" i="22" s="1"/>
  <c r="M6" i="22" s="1"/>
  <c r="I6" i="22"/>
  <c r="L5" i="22"/>
  <c r="J5" i="22"/>
  <c r="K5" i="22" s="1"/>
  <c r="M5" i="22" s="1"/>
  <c r="I5" i="22"/>
  <c r="L4" i="22"/>
  <c r="K4" i="22"/>
  <c r="M4" i="22" s="1"/>
  <c r="J4" i="22"/>
  <c r="I4" i="22"/>
  <c r="L3" i="22"/>
  <c r="J3" i="22"/>
  <c r="K3" i="22" s="1"/>
  <c r="M3" i="22" s="1"/>
  <c r="I3" i="22"/>
  <c r="L2" i="22"/>
  <c r="J2" i="22"/>
  <c r="K2" i="22" s="1"/>
  <c r="M2" i="22" s="1"/>
  <c r="I2" i="22"/>
  <c r="B70" i="21"/>
  <c r="A70" i="21"/>
  <c r="N65" i="21"/>
  <c r="N66" i="21" s="1"/>
  <c r="N67" i="21" s="1"/>
  <c r="J60" i="21"/>
  <c r="K60" i="21" s="1"/>
  <c r="N60" i="21" s="1"/>
  <c r="I60" i="21"/>
  <c r="J59" i="21"/>
  <c r="K59" i="21" s="1"/>
  <c r="N59" i="21" s="1"/>
  <c r="I59" i="21"/>
  <c r="J58" i="21"/>
  <c r="K58" i="21" s="1"/>
  <c r="N58" i="21" s="1"/>
  <c r="I58" i="21"/>
  <c r="J57" i="21"/>
  <c r="K57" i="21" s="1"/>
  <c r="N57" i="21" s="1"/>
  <c r="I57" i="21"/>
  <c r="J56" i="21"/>
  <c r="K56" i="21" s="1"/>
  <c r="N56" i="21" s="1"/>
  <c r="I56" i="21"/>
  <c r="J55" i="21"/>
  <c r="K55" i="21" s="1"/>
  <c r="N55" i="21" s="1"/>
  <c r="I55" i="21"/>
  <c r="J54" i="21"/>
  <c r="K54" i="21" s="1"/>
  <c r="N54" i="21" s="1"/>
  <c r="I54" i="21"/>
  <c r="J53" i="21"/>
  <c r="K53" i="21" s="1"/>
  <c r="N53" i="21" s="1"/>
  <c r="I53" i="21"/>
  <c r="J52" i="21"/>
  <c r="K52" i="21" s="1"/>
  <c r="N52" i="21" s="1"/>
  <c r="I52" i="21"/>
  <c r="J51" i="21"/>
  <c r="K51" i="21" s="1"/>
  <c r="N51" i="21" s="1"/>
  <c r="I51" i="21"/>
  <c r="J50" i="21"/>
  <c r="K50" i="21" s="1"/>
  <c r="N50" i="21" s="1"/>
  <c r="I50" i="21"/>
  <c r="J49" i="21"/>
  <c r="K49" i="21" s="1"/>
  <c r="N49" i="21" s="1"/>
  <c r="I49" i="21"/>
  <c r="J48" i="21"/>
  <c r="K48" i="21" s="1"/>
  <c r="N48" i="21" s="1"/>
  <c r="I48" i="21"/>
  <c r="J47" i="21"/>
  <c r="K47" i="21" s="1"/>
  <c r="N47" i="21" s="1"/>
  <c r="I47" i="21"/>
  <c r="J46" i="21"/>
  <c r="K46" i="21" s="1"/>
  <c r="N46" i="21" s="1"/>
  <c r="I46" i="21"/>
  <c r="J45" i="21"/>
  <c r="K45" i="21" s="1"/>
  <c r="N45" i="21" s="1"/>
  <c r="I45" i="21"/>
  <c r="J44" i="21"/>
  <c r="K44" i="21" s="1"/>
  <c r="N44" i="21" s="1"/>
  <c r="I44" i="21"/>
  <c r="J43" i="21"/>
  <c r="K43" i="21" s="1"/>
  <c r="N43" i="21" s="1"/>
  <c r="I43" i="21"/>
  <c r="J42" i="21"/>
  <c r="K42" i="21" s="1"/>
  <c r="N42" i="21" s="1"/>
  <c r="I42" i="21"/>
  <c r="J41" i="21"/>
  <c r="K41" i="21" s="1"/>
  <c r="N41" i="21" s="1"/>
  <c r="I41" i="21"/>
  <c r="J40" i="21"/>
  <c r="K40" i="21" s="1"/>
  <c r="N40" i="21" s="1"/>
  <c r="I40" i="21"/>
  <c r="J39" i="21"/>
  <c r="K39" i="21" s="1"/>
  <c r="N39" i="21" s="1"/>
  <c r="I39" i="21"/>
  <c r="J38" i="21"/>
  <c r="K38" i="21" s="1"/>
  <c r="N38" i="21" s="1"/>
  <c r="I38" i="21"/>
  <c r="J37" i="21"/>
  <c r="K37" i="21" s="1"/>
  <c r="N37" i="21" s="1"/>
  <c r="I37" i="21"/>
  <c r="J36" i="21"/>
  <c r="K36" i="21" s="1"/>
  <c r="N36" i="21" s="1"/>
  <c r="I36" i="21"/>
  <c r="J35" i="21"/>
  <c r="K35" i="21" s="1"/>
  <c r="N35" i="21" s="1"/>
  <c r="I35" i="21"/>
  <c r="J34" i="21"/>
  <c r="K34" i="21" s="1"/>
  <c r="N34" i="21" s="1"/>
  <c r="I34" i="21"/>
  <c r="J33" i="21"/>
  <c r="K33" i="21" s="1"/>
  <c r="N33" i="21" s="1"/>
  <c r="I33" i="21"/>
  <c r="J32" i="21"/>
  <c r="K32" i="21" s="1"/>
  <c r="N32" i="21" s="1"/>
  <c r="I32" i="21"/>
  <c r="J31" i="21"/>
  <c r="K31" i="21" s="1"/>
  <c r="N31" i="21" s="1"/>
  <c r="I31" i="21"/>
  <c r="J30" i="21"/>
  <c r="K30" i="21" s="1"/>
  <c r="N30" i="21" s="1"/>
  <c r="I30" i="21"/>
  <c r="J29" i="21"/>
  <c r="K29" i="21" s="1"/>
  <c r="N29" i="21" s="1"/>
  <c r="I29" i="21"/>
  <c r="J28" i="21"/>
  <c r="K28" i="21" s="1"/>
  <c r="N28" i="21" s="1"/>
  <c r="I28" i="21"/>
  <c r="J27" i="21"/>
  <c r="K27" i="21" s="1"/>
  <c r="N27" i="21" s="1"/>
  <c r="I27" i="21"/>
  <c r="J26" i="21"/>
  <c r="K26" i="21" s="1"/>
  <c r="N26" i="21" s="1"/>
  <c r="I26" i="21"/>
  <c r="J25" i="21"/>
  <c r="K25" i="21" s="1"/>
  <c r="N25" i="21" s="1"/>
  <c r="I25" i="21"/>
  <c r="J24" i="21"/>
  <c r="K24" i="21" s="1"/>
  <c r="N24" i="21" s="1"/>
  <c r="I24" i="21"/>
  <c r="J23" i="21"/>
  <c r="K23" i="21" s="1"/>
  <c r="N23" i="21" s="1"/>
  <c r="I23" i="21"/>
  <c r="J22" i="21"/>
  <c r="K22" i="21" s="1"/>
  <c r="N22" i="21" s="1"/>
  <c r="I22" i="21"/>
  <c r="J21" i="21"/>
  <c r="K21" i="21" s="1"/>
  <c r="N21" i="21" s="1"/>
  <c r="I21" i="21"/>
  <c r="J20" i="21"/>
  <c r="K20" i="21" s="1"/>
  <c r="N20" i="21" s="1"/>
  <c r="I20" i="21"/>
  <c r="J19" i="21"/>
  <c r="K19" i="21" s="1"/>
  <c r="N19" i="21" s="1"/>
  <c r="I19" i="21"/>
  <c r="J18" i="21"/>
  <c r="K18" i="21" s="1"/>
  <c r="N18" i="21" s="1"/>
  <c r="I18" i="21"/>
  <c r="J17" i="21"/>
  <c r="K17" i="21" s="1"/>
  <c r="N17" i="21" s="1"/>
  <c r="I17" i="21"/>
  <c r="J16" i="21"/>
  <c r="K16" i="21" s="1"/>
  <c r="N16" i="21" s="1"/>
  <c r="I16" i="21"/>
  <c r="J15" i="21"/>
  <c r="K15" i="21" s="1"/>
  <c r="N15" i="21" s="1"/>
  <c r="I15" i="21"/>
  <c r="J14" i="21"/>
  <c r="K14" i="21" s="1"/>
  <c r="N14" i="21" s="1"/>
  <c r="I14" i="21"/>
  <c r="J13" i="21"/>
  <c r="K13" i="21" s="1"/>
  <c r="N13" i="21" s="1"/>
  <c r="I13" i="21"/>
  <c r="J12" i="21"/>
  <c r="K12" i="21" s="1"/>
  <c r="N12" i="21" s="1"/>
  <c r="I12" i="21"/>
  <c r="J11" i="21"/>
  <c r="K11" i="21" s="1"/>
  <c r="N11" i="21" s="1"/>
  <c r="I11" i="21"/>
  <c r="J10" i="21"/>
  <c r="K10" i="21" s="1"/>
  <c r="N10" i="21" s="1"/>
  <c r="I10" i="21"/>
  <c r="J9" i="21"/>
  <c r="K9" i="21" s="1"/>
  <c r="N9" i="21" s="1"/>
  <c r="I9" i="21"/>
  <c r="J8" i="21"/>
  <c r="K8" i="21" s="1"/>
  <c r="N8" i="21" s="1"/>
  <c r="I8" i="21"/>
  <c r="J7" i="21"/>
  <c r="K7" i="21" s="1"/>
  <c r="N7" i="21" s="1"/>
  <c r="I7" i="21"/>
  <c r="J6" i="21"/>
  <c r="K6" i="21" s="1"/>
  <c r="N6" i="21" s="1"/>
  <c r="I6" i="21"/>
  <c r="J5" i="21"/>
  <c r="K5" i="21" s="1"/>
  <c r="N5" i="21" s="1"/>
  <c r="I5" i="21"/>
  <c r="J4" i="21"/>
  <c r="K4" i="21" s="1"/>
  <c r="N4" i="21" s="1"/>
  <c r="I4" i="21"/>
  <c r="J3" i="21"/>
  <c r="K3" i="21" s="1"/>
  <c r="N3" i="21" s="1"/>
  <c r="I3" i="21"/>
  <c r="J2" i="21"/>
  <c r="K2" i="21" s="1"/>
  <c r="N2" i="21" s="1"/>
  <c r="I2" i="21"/>
  <c r="U8" i="22" l="1"/>
  <c r="T8" i="21"/>
  <c r="Y1" i="22"/>
  <c r="Y6" i="22" s="1"/>
  <c r="H58" i="16" l="1"/>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H9" i="16"/>
  <c r="G9" i="16"/>
  <c r="H8" i="16"/>
  <c r="G8" i="16"/>
  <c r="H7" i="16"/>
  <c r="G7" i="16"/>
  <c r="H6" i="16"/>
  <c r="G6" i="16"/>
  <c r="H5" i="16"/>
  <c r="G5" i="16"/>
  <c r="H4" i="16"/>
  <c r="G4" i="16"/>
  <c r="H3" i="16"/>
  <c r="G3" i="16"/>
  <c r="H2" i="16"/>
  <c r="G2" i="16"/>
  <c r="N26" i="17"/>
  <c r="M26" i="17"/>
  <c r="L26" i="17"/>
  <c r="K26" i="17"/>
  <c r="J26" i="17"/>
  <c r="I26" i="17"/>
  <c r="N25" i="17"/>
  <c r="M25" i="17"/>
  <c r="L25" i="17"/>
  <c r="K25" i="17"/>
  <c r="J25" i="17"/>
  <c r="I25" i="17"/>
  <c r="N24" i="17"/>
  <c r="M24" i="17"/>
  <c r="L24" i="17"/>
  <c r="K24" i="17"/>
  <c r="J24" i="17"/>
  <c r="I24" i="17"/>
  <c r="N23" i="17"/>
  <c r="M23" i="17"/>
  <c r="L23" i="17"/>
  <c r="K23" i="17"/>
  <c r="J23" i="17"/>
  <c r="I23" i="17"/>
  <c r="N22" i="17"/>
  <c r="M22" i="17"/>
  <c r="L22" i="17"/>
  <c r="K22" i="17"/>
  <c r="J22" i="17"/>
  <c r="I22" i="17"/>
  <c r="N21" i="17"/>
  <c r="M21" i="17"/>
  <c r="L21" i="17"/>
  <c r="K21" i="17"/>
  <c r="J21" i="17"/>
  <c r="I21" i="17"/>
  <c r="N20" i="17"/>
  <c r="M20" i="17"/>
  <c r="L20" i="17"/>
  <c r="K20" i="17"/>
  <c r="J20" i="17"/>
  <c r="I20" i="17"/>
  <c r="N19" i="17"/>
  <c r="M19" i="17"/>
  <c r="L19" i="17"/>
  <c r="K19" i="17"/>
  <c r="J19" i="17"/>
  <c r="I19" i="17"/>
  <c r="N18" i="17"/>
  <c r="M18" i="17"/>
  <c r="L18" i="17"/>
  <c r="K18" i="17"/>
  <c r="J18" i="17"/>
  <c r="I18" i="17"/>
  <c r="N17" i="17"/>
  <c r="M17" i="17"/>
  <c r="L17" i="17"/>
  <c r="K17" i="17"/>
  <c r="J17" i="17"/>
  <c r="I17" i="17"/>
  <c r="N16" i="17"/>
  <c r="M16" i="17"/>
  <c r="L16" i="17"/>
  <c r="K16" i="17"/>
  <c r="J16" i="17"/>
  <c r="I16" i="17"/>
  <c r="N15" i="17"/>
  <c r="M15" i="17"/>
  <c r="L15" i="17"/>
  <c r="K15" i="17"/>
  <c r="J15" i="17"/>
  <c r="I15" i="17"/>
  <c r="N14" i="17"/>
  <c r="M14" i="17"/>
  <c r="L14" i="17"/>
  <c r="K14" i="17"/>
  <c r="J14" i="17"/>
  <c r="I14" i="17"/>
  <c r="N13" i="17"/>
  <c r="M13" i="17"/>
  <c r="L13" i="17"/>
  <c r="K13" i="17"/>
  <c r="J13" i="17"/>
  <c r="I13" i="17"/>
  <c r="N12" i="17"/>
  <c r="M12" i="17"/>
  <c r="L12" i="17"/>
  <c r="K12" i="17"/>
  <c r="J12" i="17"/>
  <c r="I12" i="17"/>
  <c r="N11" i="17"/>
  <c r="M11" i="17"/>
  <c r="L11" i="17"/>
  <c r="K11" i="17"/>
  <c r="J11" i="17"/>
  <c r="I11" i="17"/>
  <c r="N10" i="17"/>
  <c r="M10" i="17"/>
  <c r="L10" i="17"/>
  <c r="K10" i="17"/>
  <c r="J10" i="17"/>
  <c r="I10" i="17"/>
  <c r="N9" i="17"/>
  <c r="M9" i="17"/>
  <c r="L9" i="17"/>
  <c r="K9" i="17"/>
  <c r="J9" i="17"/>
  <c r="I9" i="17"/>
  <c r="N8" i="17"/>
  <c r="M8" i="17"/>
  <c r="L8" i="17"/>
  <c r="K8" i="17"/>
  <c r="J8" i="17"/>
  <c r="I8" i="17"/>
  <c r="N7" i="17"/>
  <c r="M7" i="17"/>
  <c r="L7" i="17"/>
  <c r="K7" i="17"/>
  <c r="J7" i="17"/>
  <c r="I7" i="17"/>
  <c r="N6" i="17"/>
  <c r="M6" i="17"/>
  <c r="L6" i="17"/>
  <c r="K6" i="17"/>
  <c r="J6" i="17"/>
  <c r="I6" i="17"/>
  <c r="N5" i="17"/>
  <c r="M5" i="17"/>
  <c r="L5" i="17"/>
  <c r="K5" i="17"/>
  <c r="J5" i="17"/>
  <c r="I5" i="17"/>
  <c r="N4" i="17"/>
  <c r="M4" i="17"/>
  <c r="L4" i="17"/>
  <c r="K4" i="17"/>
  <c r="J4" i="17"/>
  <c r="I4" i="17"/>
  <c r="N3" i="17"/>
  <c r="M3" i="17"/>
  <c r="L3" i="17"/>
  <c r="K3" i="17"/>
  <c r="J3" i="17"/>
  <c r="I3" i="17"/>
  <c r="N2" i="17"/>
  <c r="M2" i="17"/>
  <c r="M46" i="17" s="1"/>
  <c r="L2" i="17"/>
  <c r="L31" i="17" s="1"/>
  <c r="K2" i="17"/>
  <c r="J2" i="17"/>
  <c r="I2" i="17"/>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2" i="14"/>
  <c r="I2" i="14"/>
  <c r="M2" i="14" s="1"/>
  <c r="I3" i="14"/>
  <c r="K3" i="14" s="1"/>
  <c r="I4" i="14"/>
  <c r="K4" i="14" s="1"/>
  <c r="I5" i="14"/>
  <c r="K5" i="14" s="1"/>
  <c r="I6" i="14"/>
  <c r="K6" i="14" s="1"/>
  <c r="I7" i="14"/>
  <c r="M7" i="14" s="1"/>
  <c r="I8" i="14"/>
  <c r="K8" i="14" s="1"/>
  <c r="I9" i="14"/>
  <c r="K9" i="14" s="1"/>
  <c r="I10" i="14"/>
  <c r="M10" i="14" s="1"/>
  <c r="I11" i="14"/>
  <c r="M11" i="14" s="1"/>
  <c r="I12" i="14"/>
  <c r="M12" i="14" s="1"/>
  <c r="I13" i="14"/>
  <c r="K13" i="14" s="1"/>
  <c r="I14" i="14"/>
  <c r="K14" i="14" s="1"/>
  <c r="I15" i="14"/>
  <c r="K15" i="14" s="1"/>
  <c r="I16" i="14"/>
  <c r="K16" i="14" s="1"/>
  <c r="I17" i="14"/>
  <c r="K17" i="14" s="1"/>
  <c r="I18" i="14"/>
  <c r="K18" i="14" s="1"/>
  <c r="I19" i="14"/>
  <c r="K19" i="14" s="1"/>
  <c r="I20" i="14"/>
  <c r="K20" i="14" s="1"/>
  <c r="I21" i="14"/>
  <c r="K21" i="14" s="1"/>
  <c r="I22" i="14"/>
  <c r="K22" i="14" s="1"/>
  <c r="I23" i="14"/>
  <c r="M23" i="14" s="1"/>
  <c r="I24" i="14"/>
  <c r="K24" i="14" s="1"/>
  <c r="I25" i="14"/>
  <c r="K25" i="14" s="1"/>
  <c r="I26" i="14"/>
  <c r="K26" i="14" s="1"/>
  <c r="I27" i="14"/>
  <c r="M27" i="14" s="1"/>
  <c r="I28" i="14"/>
  <c r="K28" i="14" s="1"/>
  <c r="I29" i="14"/>
  <c r="K29" i="14" s="1"/>
  <c r="I30" i="14"/>
  <c r="K30" i="14" s="1"/>
  <c r="I31" i="14"/>
  <c r="M31" i="14" s="1"/>
  <c r="I32" i="14"/>
  <c r="K32" i="14" s="1"/>
  <c r="I33" i="14"/>
  <c r="K33" i="14" s="1"/>
  <c r="I34" i="14"/>
  <c r="M34" i="14" s="1"/>
  <c r="I35" i="14"/>
  <c r="K35" i="14" s="1"/>
  <c r="I36" i="14"/>
  <c r="K36" i="14" s="1"/>
  <c r="I37" i="14"/>
  <c r="K37" i="14" s="1"/>
  <c r="I38" i="14"/>
  <c r="K38" i="14" s="1"/>
  <c r="I39" i="14"/>
  <c r="K39" i="14" s="1"/>
  <c r="I40" i="14"/>
  <c r="K40" i="14" s="1"/>
  <c r="I41" i="14"/>
  <c r="K41" i="14" s="1"/>
  <c r="I42" i="14"/>
  <c r="M42" i="14" s="1"/>
  <c r="I43" i="14"/>
  <c r="M43" i="14" s="1"/>
  <c r="I44" i="14"/>
  <c r="M44" i="14" s="1"/>
  <c r="I45" i="14"/>
  <c r="K45" i="14" s="1"/>
  <c r="I46" i="14"/>
  <c r="K46" i="14" s="1"/>
  <c r="I47" i="14"/>
  <c r="M47" i="14" s="1"/>
  <c r="I48" i="14"/>
  <c r="K48" i="14" s="1"/>
  <c r="I49" i="14"/>
  <c r="K49" i="14" s="1"/>
  <c r="I50" i="14"/>
  <c r="K50" i="14" s="1"/>
  <c r="I51" i="14"/>
  <c r="K51" i="14" s="1"/>
  <c r="I52" i="14"/>
  <c r="K52" i="14" s="1"/>
  <c r="I53" i="14"/>
  <c r="K53" i="14" s="1"/>
  <c r="I54" i="14"/>
  <c r="K54" i="14" s="1"/>
  <c r="I55" i="14"/>
  <c r="M55" i="14" s="1"/>
  <c r="I56" i="14"/>
  <c r="M56" i="14" s="1"/>
  <c r="I57" i="14"/>
  <c r="M57" i="14" s="1"/>
  <c r="I58" i="14"/>
  <c r="M58" i="14" s="1"/>
  <c r="I59" i="14"/>
  <c r="M59" i="14" s="1"/>
  <c r="I60" i="14"/>
  <c r="K60" i="14" s="1"/>
  <c r="I61" i="14"/>
  <c r="K61" i="14" s="1"/>
  <c r="I62" i="14"/>
  <c r="K62" i="14" s="1"/>
  <c r="I63" i="14"/>
  <c r="M63" i="14" s="1"/>
  <c r="I64" i="14"/>
  <c r="M64" i="14" s="1"/>
  <c r="I65" i="14"/>
  <c r="K65" i="14" s="1"/>
  <c r="L65" i="14"/>
  <c r="H65" i="14"/>
  <c r="L64" i="14"/>
  <c r="H64" i="14"/>
  <c r="L63" i="14"/>
  <c r="H63" i="14"/>
  <c r="L62" i="14"/>
  <c r="H62" i="14"/>
  <c r="L61" i="14"/>
  <c r="H61" i="14"/>
  <c r="L60" i="14"/>
  <c r="H60" i="14"/>
  <c r="L59" i="14"/>
  <c r="H59" i="14"/>
  <c r="L58" i="14"/>
  <c r="K58" i="14"/>
  <c r="H58" i="14"/>
  <c r="L57" i="14"/>
  <c r="H57" i="14"/>
  <c r="L56" i="14"/>
  <c r="H56" i="14"/>
  <c r="L55" i="14"/>
  <c r="K55" i="14"/>
  <c r="H55" i="14"/>
  <c r="E87" i="14" a="1"/>
  <c r="E87" i="14" s="1"/>
  <c r="L54" i="14"/>
  <c r="H54" i="14"/>
  <c r="L53" i="14"/>
  <c r="H53" i="14"/>
  <c r="L52" i="14"/>
  <c r="H52" i="14"/>
  <c r="L51" i="14"/>
  <c r="H51" i="14"/>
  <c r="L50" i="14"/>
  <c r="H50" i="14"/>
  <c r="L49" i="14"/>
  <c r="H49" i="14"/>
  <c r="L48" i="14"/>
  <c r="H48" i="14"/>
  <c r="L47" i="14"/>
  <c r="K47" i="14"/>
  <c r="H47" i="14"/>
  <c r="L46" i="14"/>
  <c r="H46" i="14"/>
  <c r="L45" i="14"/>
  <c r="H45" i="14"/>
  <c r="L44" i="14"/>
  <c r="K44" i="14"/>
  <c r="H44" i="14"/>
  <c r="L43" i="14"/>
  <c r="H43" i="14"/>
  <c r="L42" i="14"/>
  <c r="K42" i="14"/>
  <c r="H42" i="14"/>
  <c r="L41" i="14"/>
  <c r="H41" i="14"/>
  <c r="L40" i="14"/>
  <c r="H40" i="14"/>
  <c r="L39" i="14"/>
  <c r="H39" i="14"/>
  <c r="L38" i="14"/>
  <c r="H38" i="14"/>
  <c r="L37" i="14"/>
  <c r="H37" i="14"/>
  <c r="L36" i="14"/>
  <c r="H36" i="14"/>
  <c r="L35" i="14"/>
  <c r="H35" i="14"/>
  <c r="L34" i="14"/>
  <c r="K34" i="14"/>
  <c r="H34" i="14"/>
  <c r="L33" i="14"/>
  <c r="H33" i="14"/>
  <c r="L32" i="14"/>
  <c r="H32" i="14"/>
  <c r="L31" i="14"/>
  <c r="K31" i="14"/>
  <c r="H31" i="14"/>
  <c r="L30" i="14"/>
  <c r="H30" i="14"/>
  <c r="L29" i="14"/>
  <c r="H29" i="14"/>
  <c r="L28" i="14"/>
  <c r="H28" i="14"/>
  <c r="L27" i="14"/>
  <c r="H27" i="14"/>
  <c r="L26" i="14"/>
  <c r="H26" i="14"/>
  <c r="L25" i="14"/>
  <c r="H25" i="14"/>
  <c r="L24" i="14"/>
  <c r="H24" i="14"/>
  <c r="L23" i="14"/>
  <c r="H23" i="14"/>
  <c r="L22" i="14"/>
  <c r="H22" i="14"/>
  <c r="L21" i="14"/>
  <c r="H21" i="14"/>
  <c r="L20" i="14"/>
  <c r="H20" i="14"/>
  <c r="L19" i="14"/>
  <c r="H19" i="14"/>
  <c r="L18" i="14"/>
  <c r="H18" i="14"/>
  <c r="L17" i="14"/>
  <c r="H17" i="14"/>
  <c r="L16" i="14"/>
  <c r="H16" i="14"/>
  <c r="L15" i="14"/>
  <c r="H15" i="14"/>
  <c r="L14" i="14"/>
  <c r="H14" i="14"/>
  <c r="L13" i="14"/>
  <c r="H13" i="14"/>
  <c r="L12" i="14"/>
  <c r="H12" i="14"/>
  <c r="L11" i="14"/>
  <c r="K11" i="14"/>
  <c r="H11" i="14"/>
  <c r="L10" i="14"/>
  <c r="K10" i="14"/>
  <c r="H10" i="14"/>
  <c r="L9" i="14"/>
  <c r="H9" i="14"/>
  <c r="L8" i="14"/>
  <c r="H8" i="14"/>
  <c r="L7" i="14"/>
  <c r="K7" i="14"/>
  <c r="H7" i="14"/>
  <c r="L6" i="14"/>
  <c r="H6" i="14"/>
  <c r="L5" i="14"/>
  <c r="H5" i="14"/>
  <c r="L4" i="14"/>
  <c r="H4" i="14"/>
  <c r="L3" i="14"/>
  <c r="H3" i="14"/>
  <c r="L2" i="14"/>
  <c r="H2" i="14"/>
  <c r="M36" i="14" l="1"/>
  <c r="K2" i="14"/>
  <c r="K12" i="14"/>
  <c r="M60" i="14"/>
  <c r="M28" i="14"/>
  <c r="M26" i="14"/>
  <c r="M52" i="14"/>
  <c r="M20" i="14"/>
  <c r="M50" i="14"/>
  <c r="M18" i="14"/>
  <c r="K57" i="14"/>
  <c r="K64" i="14"/>
  <c r="M3" i="14"/>
  <c r="K23" i="14"/>
  <c r="K43" i="14"/>
  <c r="K56" i="14"/>
  <c r="M65" i="14"/>
  <c r="M49" i="14"/>
  <c r="M41" i="14"/>
  <c r="M33" i="14"/>
  <c r="M25" i="14"/>
  <c r="M17" i="14"/>
  <c r="K59" i="14"/>
  <c r="M9" i="14"/>
  <c r="M48" i="14"/>
  <c r="M40" i="14"/>
  <c r="M32" i="14"/>
  <c r="M24" i="14"/>
  <c r="M16" i="14"/>
  <c r="K27" i="14"/>
  <c r="K63" i="14"/>
  <c r="M8" i="14"/>
  <c r="M39" i="14"/>
  <c r="M15" i="14"/>
  <c r="M62" i="14"/>
  <c r="M54" i="14"/>
  <c r="M46" i="14"/>
  <c r="M38" i="14"/>
  <c r="M30" i="14"/>
  <c r="M22" i="14"/>
  <c r="M14" i="14"/>
  <c r="M6" i="14"/>
  <c r="M61" i="14"/>
  <c r="M53" i="14"/>
  <c r="M45" i="14"/>
  <c r="M37" i="14"/>
  <c r="M29" i="14"/>
  <c r="M21" i="14"/>
  <c r="M13" i="14"/>
  <c r="M5" i="14"/>
  <c r="M4" i="14"/>
  <c r="M51" i="14"/>
  <c r="M35" i="14"/>
  <c r="M19" i="14"/>
  <c r="E88" i="14"/>
  <c r="E89" i="14"/>
  <c r="E90" i="14"/>
  <c r="E91" i="14"/>
  <c r="J79" i="14" l="1"/>
  <c r="B35" i="12" a="1"/>
  <c r="B39" i="12" s="1"/>
  <c r="B31" i="12"/>
  <c r="M26" i="12"/>
  <c r="L26" i="12"/>
  <c r="K26" i="12"/>
  <c r="J26" i="12"/>
  <c r="I26" i="12"/>
  <c r="M25" i="12"/>
  <c r="L25" i="12"/>
  <c r="K25" i="12"/>
  <c r="J25" i="12"/>
  <c r="I25" i="12"/>
  <c r="M24" i="12"/>
  <c r="L24" i="12"/>
  <c r="K24" i="12"/>
  <c r="J24" i="12"/>
  <c r="I24" i="12"/>
  <c r="M23" i="12"/>
  <c r="L23" i="12"/>
  <c r="K23" i="12"/>
  <c r="J23" i="12"/>
  <c r="I23" i="12"/>
  <c r="M22" i="12"/>
  <c r="L22" i="12"/>
  <c r="K22" i="12"/>
  <c r="J22" i="12"/>
  <c r="I22" i="12"/>
  <c r="M21" i="12"/>
  <c r="L21" i="12"/>
  <c r="K21" i="12"/>
  <c r="J21" i="12"/>
  <c r="I21" i="12"/>
  <c r="M20" i="12"/>
  <c r="L20" i="12"/>
  <c r="K20" i="12"/>
  <c r="J20" i="12"/>
  <c r="I20" i="12"/>
  <c r="M19" i="12"/>
  <c r="L19" i="12"/>
  <c r="K19" i="12"/>
  <c r="J19" i="12"/>
  <c r="I19" i="12"/>
  <c r="M18" i="12"/>
  <c r="L18" i="12"/>
  <c r="K18" i="12"/>
  <c r="J18" i="12"/>
  <c r="I18" i="12"/>
  <c r="M17" i="12"/>
  <c r="L17" i="12"/>
  <c r="K17" i="12"/>
  <c r="J17" i="12"/>
  <c r="I17" i="12"/>
  <c r="M16" i="12"/>
  <c r="L16" i="12"/>
  <c r="K16" i="12"/>
  <c r="J16" i="12"/>
  <c r="I16" i="12"/>
  <c r="M15" i="12"/>
  <c r="L15" i="12"/>
  <c r="K15" i="12"/>
  <c r="J15" i="12"/>
  <c r="I15" i="12"/>
  <c r="M14" i="12"/>
  <c r="L14" i="12"/>
  <c r="K14" i="12"/>
  <c r="J14" i="12"/>
  <c r="I14" i="12"/>
  <c r="M13" i="12"/>
  <c r="L13" i="12"/>
  <c r="K13" i="12"/>
  <c r="J13" i="12"/>
  <c r="I13" i="12"/>
  <c r="M12" i="12"/>
  <c r="L12" i="12"/>
  <c r="K12" i="12"/>
  <c r="J12" i="12"/>
  <c r="I12" i="12"/>
  <c r="M11" i="12"/>
  <c r="L11" i="12"/>
  <c r="K11" i="12"/>
  <c r="J11" i="12"/>
  <c r="I11" i="12"/>
  <c r="M10" i="12"/>
  <c r="L10" i="12"/>
  <c r="K10" i="12"/>
  <c r="J10" i="12"/>
  <c r="I10" i="12"/>
  <c r="M9" i="12"/>
  <c r="L9" i="12"/>
  <c r="K9" i="12"/>
  <c r="J9" i="12"/>
  <c r="I9" i="12"/>
  <c r="M8" i="12"/>
  <c r="L8" i="12"/>
  <c r="K8" i="12"/>
  <c r="J8" i="12"/>
  <c r="I8" i="12"/>
  <c r="M7" i="12"/>
  <c r="L7" i="12"/>
  <c r="K7" i="12"/>
  <c r="J7" i="12"/>
  <c r="I7" i="12"/>
  <c r="M6" i="12"/>
  <c r="L6" i="12"/>
  <c r="K6" i="12"/>
  <c r="J6" i="12"/>
  <c r="I6" i="12"/>
  <c r="M5" i="12"/>
  <c r="L5" i="12"/>
  <c r="K5" i="12"/>
  <c r="J5" i="12"/>
  <c r="I5" i="12"/>
  <c r="M4" i="12"/>
  <c r="L4" i="12"/>
  <c r="K4" i="12"/>
  <c r="J4" i="12"/>
  <c r="I4" i="12"/>
  <c r="M3" i="12"/>
  <c r="L3" i="12"/>
  <c r="K3" i="12"/>
  <c r="J3" i="12"/>
  <c r="I3" i="12"/>
  <c r="M2" i="12"/>
  <c r="L2" i="12"/>
  <c r="K2" i="12"/>
  <c r="J2" i="12"/>
  <c r="I2" i="12"/>
  <c r="D29" i="12" l="1"/>
  <c r="B35" i="12"/>
  <c r="B36" i="12"/>
  <c r="B37" i="12"/>
  <c r="B38" i="12"/>
  <c r="K28" i="10" l="1"/>
  <c r="M28" i="10" s="1"/>
  <c r="N28" i="10" s="1"/>
  <c r="J28" i="10"/>
  <c r="K27" i="10"/>
  <c r="M27" i="10" s="1"/>
  <c r="N27" i="10" s="1"/>
  <c r="J27" i="10"/>
  <c r="K26" i="10"/>
  <c r="M26" i="10" s="1"/>
  <c r="N26" i="10" s="1"/>
  <c r="J26" i="10"/>
  <c r="K25" i="10"/>
  <c r="M25" i="10" s="1"/>
  <c r="N25" i="10" s="1"/>
  <c r="J25" i="10"/>
  <c r="K24" i="10"/>
  <c r="M24" i="10" s="1"/>
  <c r="N24" i="10" s="1"/>
  <c r="J24" i="10"/>
  <c r="K23" i="10"/>
  <c r="M23" i="10" s="1"/>
  <c r="N23" i="10" s="1"/>
  <c r="J23" i="10"/>
  <c r="K22" i="10"/>
  <c r="M22" i="10" s="1"/>
  <c r="N22" i="10" s="1"/>
  <c r="J22" i="10"/>
  <c r="K21" i="10"/>
  <c r="M21" i="10" s="1"/>
  <c r="N21" i="10" s="1"/>
  <c r="J21" i="10"/>
  <c r="K20" i="10"/>
  <c r="M20" i="10" s="1"/>
  <c r="N20" i="10" s="1"/>
  <c r="J20" i="10"/>
  <c r="K19" i="10"/>
  <c r="M19" i="10" s="1"/>
  <c r="N19" i="10" s="1"/>
  <c r="J19" i="10"/>
  <c r="K18" i="10"/>
  <c r="M18" i="10" s="1"/>
  <c r="N18" i="10" s="1"/>
  <c r="J18" i="10"/>
  <c r="K17" i="10"/>
  <c r="M17" i="10" s="1"/>
  <c r="N17" i="10" s="1"/>
  <c r="J17" i="10"/>
  <c r="K16" i="10"/>
  <c r="M16" i="10" s="1"/>
  <c r="N16" i="10" s="1"/>
  <c r="J16" i="10"/>
  <c r="K15" i="10"/>
  <c r="M15" i="10" s="1"/>
  <c r="N15" i="10" s="1"/>
  <c r="J15" i="10"/>
  <c r="K14" i="10"/>
  <c r="M14" i="10" s="1"/>
  <c r="N14" i="10" s="1"/>
  <c r="J14" i="10"/>
  <c r="K13" i="10"/>
  <c r="M13" i="10" s="1"/>
  <c r="N13" i="10" s="1"/>
  <c r="J13" i="10"/>
  <c r="K12" i="10"/>
  <c r="M12" i="10" s="1"/>
  <c r="N12" i="10" s="1"/>
  <c r="J12" i="10"/>
  <c r="K11" i="10"/>
  <c r="M11" i="10" s="1"/>
  <c r="N11" i="10" s="1"/>
  <c r="J11" i="10"/>
  <c r="K10" i="10"/>
  <c r="M10" i="10" s="1"/>
  <c r="N10" i="10" s="1"/>
  <c r="J10" i="10"/>
  <c r="K9" i="10"/>
  <c r="M9" i="10" s="1"/>
  <c r="N9" i="10" s="1"/>
  <c r="J9" i="10"/>
  <c r="K8" i="10"/>
  <c r="M8" i="10" s="1"/>
  <c r="N8" i="10" s="1"/>
  <c r="J8" i="10"/>
  <c r="K7" i="10"/>
  <c r="M7" i="10" s="1"/>
  <c r="N7" i="10" s="1"/>
  <c r="J7" i="10"/>
  <c r="K6" i="10"/>
  <c r="M6" i="10" s="1"/>
  <c r="J6" i="10"/>
  <c r="K5" i="10"/>
  <c r="M5" i="10" s="1"/>
  <c r="N5" i="10" s="1"/>
  <c r="J5" i="10"/>
  <c r="K4" i="10"/>
  <c r="M4" i="10" s="1"/>
  <c r="N4" i="10" s="1"/>
  <c r="J4" i="10"/>
  <c r="K3" i="10"/>
  <c r="M3" i="10" s="1"/>
  <c r="N3" i="10" s="1"/>
  <c r="J3" i="10"/>
  <c r="K2" i="10"/>
  <c r="M2" i="10" s="1"/>
  <c r="N2" i="10" s="1"/>
  <c r="J2" i="10"/>
  <c r="O28" i="9"/>
  <c r="P28" i="9" s="1"/>
  <c r="Q28" i="9" s="1"/>
  <c r="K28" i="9"/>
  <c r="M28" i="9" s="1"/>
  <c r="N28" i="9" s="1"/>
  <c r="J28" i="9"/>
  <c r="O27" i="9"/>
  <c r="P27" i="9" s="1"/>
  <c r="Q27" i="9" s="1"/>
  <c r="K27" i="9"/>
  <c r="M27" i="9" s="1"/>
  <c r="N27" i="9" s="1"/>
  <c r="J27" i="9"/>
  <c r="O26" i="9"/>
  <c r="P26" i="9" s="1"/>
  <c r="Q26" i="9" s="1"/>
  <c r="K26" i="9"/>
  <c r="M26" i="9" s="1"/>
  <c r="N26" i="9" s="1"/>
  <c r="J26" i="9"/>
  <c r="O25" i="9"/>
  <c r="P25" i="9" s="1"/>
  <c r="Q25" i="9" s="1"/>
  <c r="K25" i="9"/>
  <c r="M25" i="9" s="1"/>
  <c r="N25" i="9" s="1"/>
  <c r="J25" i="9"/>
  <c r="O24" i="9"/>
  <c r="P24" i="9" s="1"/>
  <c r="Q24" i="9" s="1"/>
  <c r="K24" i="9"/>
  <c r="M24" i="9" s="1"/>
  <c r="N24" i="9" s="1"/>
  <c r="J24" i="9"/>
  <c r="O23" i="9"/>
  <c r="P23" i="9" s="1"/>
  <c r="Q23" i="9" s="1"/>
  <c r="K23" i="9"/>
  <c r="M23" i="9" s="1"/>
  <c r="N23" i="9" s="1"/>
  <c r="J23" i="9"/>
  <c r="O22" i="9"/>
  <c r="P22" i="9" s="1"/>
  <c r="Q22" i="9" s="1"/>
  <c r="K22" i="9"/>
  <c r="M22" i="9" s="1"/>
  <c r="N22" i="9" s="1"/>
  <c r="J22" i="9"/>
  <c r="O21" i="9"/>
  <c r="P21" i="9" s="1"/>
  <c r="Q21" i="9" s="1"/>
  <c r="K21" i="9"/>
  <c r="M21" i="9" s="1"/>
  <c r="N21" i="9" s="1"/>
  <c r="J21" i="9"/>
  <c r="O20" i="9"/>
  <c r="P20" i="9" s="1"/>
  <c r="Q20" i="9" s="1"/>
  <c r="K20" i="9"/>
  <c r="M20" i="9" s="1"/>
  <c r="N20" i="9" s="1"/>
  <c r="J20" i="9"/>
  <c r="O19" i="9"/>
  <c r="P19" i="9" s="1"/>
  <c r="Q19" i="9" s="1"/>
  <c r="K19" i="9"/>
  <c r="M19" i="9" s="1"/>
  <c r="N19" i="9" s="1"/>
  <c r="J19" i="9"/>
  <c r="O18" i="9"/>
  <c r="P18" i="9" s="1"/>
  <c r="Q18" i="9" s="1"/>
  <c r="K18" i="9"/>
  <c r="M18" i="9" s="1"/>
  <c r="N18" i="9" s="1"/>
  <c r="J18" i="9"/>
  <c r="O17" i="9"/>
  <c r="P17" i="9" s="1"/>
  <c r="Q17" i="9" s="1"/>
  <c r="K17" i="9"/>
  <c r="M17" i="9" s="1"/>
  <c r="N17" i="9" s="1"/>
  <c r="J17" i="9"/>
  <c r="O16" i="9"/>
  <c r="P16" i="9" s="1"/>
  <c r="Q16" i="9" s="1"/>
  <c r="K16" i="9"/>
  <c r="M16" i="9" s="1"/>
  <c r="N16" i="9" s="1"/>
  <c r="J16" i="9"/>
  <c r="O15" i="9"/>
  <c r="P15" i="9" s="1"/>
  <c r="Q15" i="9" s="1"/>
  <c r="K15" i="9"/>
  <c r="M15" i="9" s="1"/>
  <c r="N15" i="9" s="1"/>
  <c r="J15" i="9"/>
  <c r="O14" i="9"/>
  <c r="P14" i="9" s="1"/>
  <c r="Q14" i="9" s="1"/>
  <c r="K14" i="9"/>
  <c r="M14" i="9" s="1"/>
  <c r="N14" i="9" s="1"/>
  <c r="J14" i="9"/>
  <c r="O13" i="9"/>
  <c r="P13" i="9" s="1"/>
  <c r="Q13" i="9" s="1"/>
  <c r="K13" i="9"/>
  <c r="M13" i="9" s="1"/>
  <c r="N13" i="9" s="1"/>
  <c r="J13" i="9"/>
  <c r="O12" i="9"/>
  <c r="P12" i="9" s="1"/>
  <c r="Q12" i="9" s="1"/>
  <c r="K12" i="9"/>
  <c r="M12" i="9" s="1"/>
  <c r="N12" i="9" s="1"/>
  <c r="J12" i="9"/>
  <c r="O11" i="9"/>
  <c r="P11" i="9" s="1"/>
  <c r="Q11" i="9" s="1"/>
  <c r="K11" i="9"/>
  <c r="M11" i="9" s="1"/>
  <c r="N11" i="9" s="1"/>
  <c r="J11" i="9"/>
  <c r="O10" i="9"/>
  <c r="P10" i="9" s="1"/>
  <c r="Q10" i="9" s="1"/>
  <c r="K10" i="9"/>
  <c r="M10" i="9" s="1"/>
  <c r="N10" i="9" s="1"/>
  <c r="J10" i="9"/>
  <c r="O9" i="9"/>
  <c r="P9" i="9" s="1"/>
  <c r="Q9" i="9" s="1"/>
  <c r="K9" i="9"/>
  <c r="M9" i="9" s="1"/>
  <c r="N9" i="9" s="1"/>
  <c r="J9" i="9"/>
  <c r="O8" i="9"/>
  <c r="P8" i="9" s="1"/>
  <c r="Q8" i="9" s="1"/>
  <c r="K8" i="9"/>
  <c r="M8" i="9" s="1"/>
  <c r="N8" i="9" s="1"/>
  <c r="J8" i="9"/>
  <c r="O7" i="9"/>
  <c r="P7" i="9" s="1"/>
  <c r="Q7" i="9" s="1"/>
  <c r="K7" i="9"/>
  <c r="M7" i="9" s="1"/>
  <c r="N7" i="9" s="1"/>
  <c r="J7" i="9"/>
  <c r="O6" i="9"/>
  <c r="P6" i="9" s="1"/>
  <c r="Q6" i="9" s="1"/>
  <c r="K6" i="9"/>
  <c r="M6" i="9" s="1"/>
  <c r="J6" i="9"/>
  <c r="O5" i="9"/>
  <c r="P5" i="9" s="1"/>
  <c r="Q5" i="9" s="1"/>
  <c r="K5" i="9"/>
  <c r="M5" i="9" s="1"/>
  <c r="N5" i="9" s="1"/>
  <c r="J5" i="9"/>
  <c r="O4" i="9"/>
  <c r="P4" i="9" s="1"/>
  <c r="Q4" i="9" s="1"/>
  <c r="K4" i="9"/>
  <c r="M4" i="9" s="1"/>
  <c r="N4" i="9" s="1"/>
  <c r="J4" i="9"/>
  <c r="O3" i="9"/>
  <c r="P3" i="9" s="1"/>
  <c r="Q3" i="9" s="1"/>
  <c r="K3" i="9"/>
  <c r="M3" i="9" s="1"/>
  <c r="N3" i="9" s="1"/>
  <c r="J3" i="9"/>
  <c r="O2" i="9"/>
  <c r="P2" i="9" s="1"/>
  <c r="Q2" i="9" s="1"/>
  <c r="K2" i="9"/>
  <c r="M2" i="9" s="1"/>
  <c r="N2" i="9" s="1"/>
  <c r="J2" i="9"/>
  <c r="H26" i="8"/>
  <c r="H25" i="8"/>
  <c r="H24" i="8"/>
  <c r="H23" i="8"/>
  <c r="H22" i="8"/>
  <c r="H21" i="8"/>
  <c r="H20" i="8"/>
  <c r="H19" i="8"/>
  <c r="H18" i="8"/>
  <c r="H17" i="8"/>
  <c r="H16" i="8"/>
  <c r="H15" i="8"/>
  <c r="H14" i="8"/>
  <c r="H13" i="8"/>
  <c r="H12" i="8"/>
  <c r="H11" i="8"/>
  <c r="H10" i="8"/>
  <c r="H9" i="8"/>
  <c r="H8" i="8"/>
  <c r="H7" i="8"/>
  <c r="H6" i="8"/>
  <c r="H5" i="8"/>
  <c r="H4" i="8"/>
  <c r="H3" i="8"/>
  <c r="H2" i="8"/>
  <c r="N6" i="10" l="1"/>
  <c r="L2" i="10"/>
  <c r="L3" i="10"/>
  <c r="L4" i="10"/>
  <c r="L5" i="10"/>
  <c r="L6" i="10"/>
  <c r="L7" i="10"/>
  <c r="L8" i="10"/>
  <c r="L9" i="10"/>
  <c r="L10" i="10"/>
  <c r="L11" i="10"/>
  <c r="L12" i="10"/>
  <c r="L13" i="10"/>
  <c r="L14" i="10"/>
  <c r="L15" i="10"/>
  <c r="L16" i="10"/>
  <c r="L17" i="10"/>
  <c r="L18" i="10"/>
  <c r="L19" i="10"/>
  <c r="L20" i="10"/>
  <c r="L21" i="10"/>
  <c r="L22" i="10"/>
  <c r="L23" i="10"/>
  <c r="L24" i="10"/>
  <c r="L25" i="10"/>
  <c r="L26" i="10"/>
  <c r="L27" i="10"/>
  <c r="L28" i="10"/>
  <c r="O36" i="9"/>
  <c r="N6" i="9"/>
  <c r="L2" i="9"/>
  <c r="L3" i="9"/>
  <c r="L4" i="9"/>
  <c r="L5" i="9"/>
  <c r="L6" i="9"/>
  <c r="L7" i="9"/>
  <c r="L8" i="9"/>
  <c r="L9" i="9"/>
  <c r="L10" i="9"/>
  <c r="L11" i="9"/>
  <c r="L12" i="9"/>
  <c r="L13" i="9"/>
  <c r="L14" i="9"/>
  <c r="L15" i="9"/>
  <c r="L16" i="9"/>
  <c r="L17" i="9"/>
  <c r="L18" i="9"/>
  <c r="L19" i="9"/>
  <c r="L20" i="9"/>
  <c r="L21" i="9"/>
  <c r="L22" i="9"/>
  <c r="L23" i="9"/>
  <c r="L24" i="9"/>
  <c r="L25" i="9"/>
  <c r="L26" i="9"/>
  <c r="L27" i="9"/>
  <c r="L28"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<sst xmlns="http://schemas.openxmlformats.org/spreadsheetml/2006/main" count="1764" uniqueCount="579">
  <si>
    <t>מספר משקיע</t>
  </si>
  <si>
    <t>שם המשקיע</t>
  </si>
  <si>
    <t>מעמד משקיע</t>
  </si>
  <si>
    <t>תחילת ההשקעה</t>
  </si>
  <si>
    <t xml:space="preserve">סכום השקעה </t>
  </si>
  <si>
    <t>קרן השקעה</t>
  </si>
  <si>
    <t>דמי ניהול מחושב</t>
  </si>
  <si>
    <t>ערך השקעה נכון להיום</t>
  </si>
  <si>
    <t>NI</t>
  </si>
  <si>
    <t>שכיר</t>
  </si>
  <si>
    <t>KF</t>
  </si>
  <si>
    <t>עצמאי</t>
  </si>
  <si>
    <t>CC</t>
  </si>
  <si>
    <t>BJ</t>
  </si>
  <si>
    <t>DE</t>
  </si>
  <si>
    <t>CK</t>
  </si>
  <si>
    <t>JK</t>
  </si>
  <si>
    <t>DJ</t>
  </si>
  <si>
    <t>LB</t>
  </si>
  <si>
    <t>בעל שליטה</t>
  </si>
  <si>
    <t>LM</t>
  </si>
  <si>
    <t>BK</t>
  </si>
  <si>
    <t>DK</t>
  </si>
  <si>
    <t>KL</t>
  </si>
  <si>
    <t>NE</t>
  </si>
  <si>
    <t>MK</t>
  </si>
  <si>
    <t>FD</t>
  </si>
  <si>
    <t>KD</t>
  </si>
  <si>
    <t>EL</t>
  </si>
  <si>
    <t>KK</t>
  </si>
  <si>
    <t>MC</t>
  </si>
  <si>
    <t>FJ</t>
  </si>
  <si>
    <t>AI</t>
  </si>
  <si>
    <t>GI</t>
  </si>
  <si>
    <t>ערך ההשקעה הגבוה ביותר</t>
  </si>
  <si>
    <t>שם המשקיע שערך השקעתו הגבוה ביותר</t>
  </si>
  <si>
    <t>תאריך התקשרות עם לקוח</t>
  </si>
  <si>
    <t>תפקיד איש הקשר</t>
  </si>
  <si>
    <t>שכר</t>
  </si>
  <si>
    <t>ממועד א 2023, שאלה 1 סעיף א</t>
  </si>
  <si>
    <t>אנליסט</t>
  </si>
  <si>
    <t>שותף ניהול</t>
  </si>
  <si>
    <t>מנכ"ל</t>
  </si>
  <si>
    <t>יועץ</t>
  </si>
  <si>
    <t>מנהל מחלקת רכש</t>
  </si>
  <si>
    <t>מנהל</t>
  </si>
  <si>
    <t>רכש בכיר</t>
  </si>
  <si>
    <t>שכר בסיס</t>
  </si>
  <si>
    <t>הטבלה הייתה נתונה לצורך פתרון הסעיף:</t>
  </si>
  <si>
    <t>שכר  לפי תפקיד</t>
  </si>
  <si>
    <t>תוספת ותק לשנה, לפי תפקיד</t>
  </si>
  <si>
    <t>מספר לקוח</t>
  </si>
  <si>
    <t>שם לקוח</t>
  </si>
  <si>
    <t>מעמד לקוח</t>
  </si>
  <si>
    <t>מספר קרן</t>
  </si>
  <si>
    <t>ערך ההשקעה בשקלים</t>
  </si>
  <si>
    <t>שער הדולר שנתון</t>
  </si>
  <si>
    <t>מעמד לקוח/מספר קרן</t>
  </si>
  <si>
    <t>במבחן קיבלנו את טבלת העזר הבאה:</t>
  </si>
  <si>
    <t>חוק: בכל פעם שנקבל טבלה עם קטגוריות בשורות ובעמודות (דומה לריבוע הקסם) נעבוד עם XLOOKUP בתוך XLOOKUP</t>
  </si>
  <si>
    <t>השאלה ממועד ב 2023, שאלה מספר 1, 10 נקודות</t>
  </si>
  <si>
    <t>דוגמה נוספת ממועד א 2023 שפותרים אותה בעזרת איקס-לוק-אפ בתוך איקס-לוק-אפ:</t>
  </si>
  <si>
    <t>הטבת לקוח פר חודש התקשרות ועיר מגורים</t>
  </si>
  <si>
    <t>רבעון / עיר</t>
  </si>
  <si>
    <t>רעננה</t>
  </si>
  <si>
    <t>כפר סבא</t>
  </si>
  <si>
    <t>חולון</t>
  </si>
  <si>
    <t>ראשון לציון</t>
  </si>
  <si>
    <t>רחובות</t>
  </si>
  <si>
    <t>נס-ציונה</t>
  </si>
  <si>
    <t>הרצליה</t>
  </si>
  <si>
    <t>יבנה</t>
  </si>
  <si>
    <t>ירושלים</t>
  </si>
  <si>
    <t>חיפה</t>
  </si>
  <si>
    <t>באר שבע</t>
  </si>
  <si>
    <t>קרית אתא</t>
  </si>
  <si>
    <t>רבעון 1</t>
  </si>
  <si>
    <t>מוצר חינם</t>
  </si>
  <si>
    <t>זיכוי ברכישה הבאה</t>
  </si>
  <si>
    <t>אין הטבה</t>
  </si>
  <si>
    <t>הנחה על הרכישה הבאה</t>
  </si>
  <si>
    <t>רבעון 2</t>
  </si>
  <si>
    <t>רבעון 3</t>
  </si>
  <si>
    <t>רבעון 4</t>
  </si>
  <si>
    <t>תאריך ביקורת דוחות</t>
  </si>
  <si>
    <t>שאלה 2, 10 נקודות. ממועד א 2022</t>
  </si>
  <si>
    <t>סכום השקעה התחלתי</t>
  </si>
  <si>
    <t>תאי עזר, תנאי ראשון</t>
  </si>
  <si>
    <t xml:space="preserve">תאי עזר, תנאי שני </t>
  </si>
  <si>
    <t>תאי עזר, נקודה שלישית</t>
  </si>
  <si>
    <t>שם חודש תחילת ההשקעה</t>
  </si>
  <si>
    <t>גידול השקעה בשקלים</t>
  </si>
  <si>
    <t>שווי מס מכירה בשקלים</t>
  </si>
  <si>
    <t>שם חודש תחילת השקעה במלל</t>
  </si>
  <si>
    <t>מתנה למשקיע</t>
  </si>
  <si>
    <t>תא עזר</t>
  </si>
  <si>
    <t>סט סירים</t>
  </si>
  <si>
    <t>שער הדולר</t>
  </si>
  <si>
    <t>database</t>
  </si>
  <si>
    <t>field</t>
  </si>
  <si>
    <t>חופשה באילת</t>
  </si>
  <si>
    <t>criteria</t>
  </si>
  <si>
    <t>חופשה בפריז</t>
  </si>
  <si>
    <t>כרטיס להופעה</t>
  </si>
  <si>
    <t>תווי קניה</t>
  </si>
  <si>
    <t>ללא מתנה</t>
  </si>
  <si>
    <t>הצג לכל שם מילולי של חודש את ממוצע סכום ההשקעה ההתחלתי</t>
  </si>
  <si>
    <t>קוד לקוח</t>
  </si>
  <si>
    <t>שם חברת לקוח</t>
  </si>
  <si>
    <t>שם איש הקשר</t>
  </si>
  <si>
    <t>עיר</t>
  </si>
  <si>
    <t>סטטוס</t>
  </si>
  <si>
    <t>הנחת לקוח</t>
  </si>
  <si>
    <t>הכנסה שנתית מלקוח</t>
  </si>
  <si>
    <t>רבעון התקשרות</t>
  </si>
  <si>
    <t>הטבת לקוח לחורף</t>
  </si>
  <si>
    <t>יום סיום התקשרות</t>
  </si>
  <si>
    <t>עלות לקוח לחודש</t>
  </si>
  <si>
    <t>רווח מלקוח</t>
  </si>
  <si>
    <t>רווח מלקוח לאחר הנחה</t>
  </si>
  <si>
    <t>חודש</t>
  </si>
  <si>
    <t>רבעון</t>
  </si>
  <si>
    <t>CU0010</t>
  </si>
  <si>
    <t>אלון בן סלומון</t>
  </si>
  <si>
    <t>קבוע</t>
  </si>
  <si>
    <t>CU0011</t>
  </si>
  <si>
    <t>עמרי רווח</t>
  </si>
  <si>
    <t>מזדמן</t>
  </si>
  <si>
    <t>CU0012</t>
  </si>
  <si>
    <t>שלי הרן</t>
  </si>
  <si>
    <t>CU0013</t>
  </si>
  <si>
    <t>דנה דבורין</t>
  </si>
  <si>
    <t>CU0014</t>
  </si>
  <si>
    <t>חני נחמיאס</t>
  </si>
  <si>
    <t>CU0015</t>
  </si>
  <si>
    <t>יעל כהן</t>
  </si>
  <si>
    <t>CU0016</t>
  </si>
  <si>
    <t>ניצן אלון</t>
  </si>
  <si>
    <t>CU0017</t>
  </si>
  <si>
    <t>אודי יגאנה</t>
  </si>
  <si>
    <t>VIP</t>
  </si>
  <si>
    <t>CU0018</t>
  </si>
  <si>
    <t>שי לוי</t>
  </si>
  <si>
    <t>CU0019</t>
  </si>
  <si>
    <t>אורן רוטשטיין</t>
  </si>
  <si>
    <t>CU0020</t>
  </si>
  <si>
    <t>אלעד מרוש</t>
  </si>
  <si>
    <t>CU0021</t>
  </si>
  <si>
    <t>ענת ינקוסיץ</t>
  </si>
  <si>
    <t>CU0022</t>
  </si>
  <si>
    <t>מתן הראל</t>
  </si>
  <si>
    <t>CU0023</t>
  </si>
  <si>
    <t>יוסי כהן</t>
  </si>
  <si>
    <t>CU0024</t>
  </si>
  <si>
    <t>מיכל יוגב</t>
  </si>
  <si>
    <t>CU0025</t>
  </si>
  <si>
    <t>בתיה בירמן</t>
  </si>
  <si>
    <t>CU0026</t>
  </si>
  <si>
    <t>שלום אלפסי</t>
  </si>
  <si>
    <t>CU0027</t>
  </si>
  <si>
    <t>ליבי-ים יגאנה</t>
  </si>
  <si>
    <t>CU0028</t>
  </si>
  <si>
    <t>לביא אברמוביץ</t>
  </si>
  <si>
    <t>CU0029</t>
  </si>
  <si>
    <t>גיא דויטש</t>
  </si>
  <si>
    <t>CU0030</t>
  </si>
  <si>
    <t>יאיר קשטכר</t>
  </si>
  <si>
    <t>CU0031</t>
  </si>
  <si>
    <t>דקלה טויטו</t>
  </si>
  <si>
    <t>ייקבע מועד אחר</t>
  </si>
  <si>
    <t>CU0032</t>
  </si>
  <si>
    <t>אברהם בנימין</t>
  </si>
  <si>
    <t>CU0033</t>
  </si>
  <si>
    <t>דורון קטן</t>
  </si>
  <si>
    <t>CU0034</t>
  </si>
  <si>
    <t>לישי מקסוול</t>
  </si>
  <si>
    <t>CU0035</t>
  </si>
  <si>
    <t>LL</t>
  </si>
  <si>
    <t>דקל אדם</t>
  </si>
  <si>
    <t>CU0036</t>
  </si>
  <si>
    <t>BB</t>
  </si>
  <si>
    <t>ליריינה סופיה</t>
  </si>
  <si>
    <t>SumIf</t>
  </si>
  <si>
    <t>AverageIf</t>
  </si>
  <si>
    <t>CountIf</t>
  </si>
  <si>
    <t>Dcount</t>
  </si>
  <si>
    <t>Daverage</t>
  </si>
  <si>
    <t>Dsum</t>
  </si>
  <si>
    <t>count</t>
  </si>
  <si>
    <t>average</t>
  </si>
  <si>
    <t>sum</t>
  </si>
  <si>
    <t>ללא קריטריון</t>
  </si>
  <si>
    <t>קריטריון בודד</t>
  </si>
  <si>
    <t>ריבוי קריטריונים</t>
  </si>
  <si>
    <t>פונקציות מסדי נתונים (שם מיותר)</t>
  </si>
  <si>
    <t>שלבים:</t>
  </si>
  <si>
    <t>בנוסף ביקשו סכום ולכן נבחר ב DSUM</t>
  </si>
  <si>
    <t>נכין את טבלת הקריטריונים ונקפיד על כותרות</t>
  </si>
  <si>
    <t>כל הטבלה הגדולה, כולל כותרות</t>
  </si>
  <si>
    <t>טבלת הקריטריונים שהכנו בשלב 1, כולל כותרות</t>
  </si>
  <si>
    <t>במקרה שלנו יש 2 קריטריונים: קריטריון עיר, קריטריון תאריך</t>
  </si>
  <si>
    <t>נמלא כל פונקציה שמתחילה ב D כך:</t>
  </si>
  <si>
    <r>
      <t xml:space="preserve">מי העמודה עבורה נחשב ממוצע/סכום/ספירה- </t>
    </r>
    <r>
      <rPr>
        <b/>
        <sz val="14"/>
        <color theme="1"/>
        <rFont val="Calibri"/>
        <family val="2"/>
      </rPr>
      <t>רק הכותרת</t>
    </r>
  </si>
  <si>
    <t>התוצאה שביקשו</t>
  </si>
  <si>
    <t>זיהוי: מדובר ב DSUM</t>
  </si>
  <si>
    <t>זיהוי: אם זיהינו שני קריטריונים או יותר מדובר בפונקציה שמתחילה ב D</t>
  </si>
  <si>
    <t>תאריך סיום התקשרות</t>
  </si>
  <si>
    <r>
      <t>זיהוי: יהיה רשום: בגיליון חדש "</t>
    </r>
    <r>
      <rPr>
        <sz val="14"/>
        <color rgb="FFFF0000"/>
        <rFont val="Calibri"/>
        <family val="2"/>
      </rPr>
      <t>צור דו"ח</t>
    </r>
    <r>
      <rPr>
        <sz val="14"/>
        <color theme="1"/>
        <rFont val="Calibri"/>
        <family val="2"/>
      </rPr>
      <t>" או "</t>
    </r>
    <r>
      <rPr>
        <sz val="14"/>
        <color rgb="FFFF0000"/>
        <rFont val="Calibri"/>
        <family val="2"/>
      </rPr>
      <t>רשימה חדשה</t>
    </r>
    <r>
      <rPr>
        <sz val="14"/>
        <color theme="1"/>
        <rFont val="Calibri"/>
        <family val="2"/>
      </rPr>
      <t>" וגם</t>
    </r>
    <r>
      <rPr>
        <sz val="14"/>
        <color rgb="FFFF0000"/>
        <rFont val="Calibri"/>
        <family val="2"/>
      </rPr>
      <t xml:space="preserve"> יתנו קריטריונים</t>
    </r>
  </si>
  <si>
    <t>לרוב הרשימה החדשה תכיל רק חלק מהכותרות שהיו בטבלה המקורית</t>
  </si>
  <si>
    <t>וגם: אותה שורה      או: שורות נפרדות</t>
  </si>
  <si>
    <t>נפתח גיליון חדש עם השם שביקשו, אשר יכיל רק את הכותרות שביקשו שיהיו בו</t>
  </si>
  <si>
    <t>טווח רשימה</t>
  </si>
  <si>
    <t>טווח קריטריונים</t>
  </si>
  <si>
    <t>העתק אל</t>
  </si>
  <si>
    <t>כל טבלת הנתונים המקורית, עם כותרות</t>
  </si>
  <si>
    <t>טבלת הקריטריונים שהכנו- עם כותרות</t>
  </si>
  <si>
    <t>הכותרות שייכללו בגיליון החדש שפתחתנו (משלב 3)</t>
  </si>
  <si>
    <r>
      <rPr>
        <sz val="14"/>
        <color rgb="FF00B0F0"/>
        <rFont val="Calibri"/>
        <family val="2"/>
      </rPr>
      <t>בגיליון החדש,</t>
    </r>
    <r>
      <rPr>
        <sz val="14"/>
        <color theme="1"/>
        <rFont val="Calibri"/>
        <family val="2"/>
      </rPr>
      <t xml:space="preserve"> נכין את טבלת הקריטריונים ונקפיד על כותרות, כאשר:</t>
    </r>
  </si>
  <si>
    <r>
      <rPr>
        <sz val="14"/>
        <color rgb="FF00B0F0"/>
        <rFont val="Calibri"/>
        <family val="2"/>
      </rPr>
      <t>כשאנו בגיליון החדש:</t>
    </r>
    <r>
      <rPr>
        <sz val="14"/>
        <color theme="1"/>
        <rFont val="Calibri"/>
        <family val="2"/>
      </rPr>
      <t xml:space="preserve"> לשונית "נתונים", "מתקדם", נסמן תמיד "העתק למיקום אחר" ונמלא:</t>
    </r>
  </si>
  <si>
    <t>סכום השקעה ראשוני</t>
  </si>
  <si>
    <t>דמי ניהול</t>
  </si>
  <si>
    <t>ערך השקעה נכון ליום 31/12/21</t>
  </si>
  <si>
    <t>ערך השקעה לסוף שנת 2022</t>
  </si>
  <si>
    <t>BP</t>
  </si>
  <si>
    <t>OI</t>
  </si>
  <si>
    <t>תאריך התחלה</t>
  </si>
  <si>
    <t>קוד אמצעי תשלום</t>
  </si>
  <si>
    <t>קוד הנחה</t>
  </si>
  <si>
    <t xml:space="preserve">שם אמצעי תשלום </t>
  </si>
  <si>
    <t xml:space="preserve">הנחה בש׳׳ח </t>
  </si>
  <si>
    <t>סה׳׳כ פדיון מלקוחות בדולר בשנת 2017</t>
  </si>
  <si>
    <t>שנת התחלה</t>
  </si>
  <si>
    <t>א.ג מספק הגליל</t>
  </si>
  <si>
    <t>א.מ סוכנויות ושיווק</t>
  </si>
  <si>
    <t>א.מ.י  ( אפרוחי משואות יצחק)</t>
  </si>
  <si>
    <t>חדרה</t>
  </si>
  <si>
    <t>שאלה: 1</t>
  </si>
  <si>
    <t>סעיף ב׳</t>
  </si>
  <si>
    <t>א.פ.י חורי הפצה בע"מ</t>
  </si>
  <si>
    <t>קרית שמונה</t>
  </si>
  <si>
    <t>א.ש.ד. תרדיון</t>
  </si>
  <si>
    <t>רמת גן</t>
  </si>
  <si>
    <t>א.שיווק</t>
  </si>
  <si>
    <t>אבישי מזון</t>
  </si>
  <si>
    <t>אבישי תמרוקים</t>
  </si>
  <si>
    <t>אשקלון</t>
  </si>
  <si>
    <t>אברך אלון ג'י בע"מ</t>
  </si>
  <si>
    <t>נתניה</t>
  </si>
  <si>
    <t>אגרידרה</t>
  </si>
  <si>
    <t>און הצפון בע"מ</t>
  </si>
  <si>
    <t>אוסם והחברות השלובות</t>
  </si>
  <si>
    <t>אופטיד בע"מ</t>
  </si>
  <si>
    <t>תל אביב</t>
  </si>
  <si>
    <t>סעיף 2 ב</t>
  </si>
  <si>
    <t>אופטיקה הלפרין בע"מ</t>
  </si>
  <si>
    <t>אופטיקה צפון</t>
  </si>
  <si>
    <t>תא עזר לשער הדולר</t>
  </si>
  <si>
    <t>אור הצפון</t>
  </si>
  <si>
    <t>אורי פתרונות לול בע"מ</t>
  </si>
  <si>
    <t>אוריינט אקספרס</t>
  </si>
  <si>
    <t>אחים אסנין</t>
  </si>
  <si>
    <t>אינטרקוסמא</t>
  </si>
  <si>
    <t>אירגון עובדי המים</t>
  </si>
  <si>
    <t>נהריה</t>
  </si>
  <si>
    <t>אירגון עובדי הפלחה</t>
  </si>
  <si>
    <t>אל חיים</t>
  </si>
  <si>
    <t>אלון דלק לישראל</t>
  </si>
  <si>
    <t>אלון יעקב בע"מ</t>
  </si>
  <si>
    <t>אלישע את חיים</t>
  </si>
  <si>
    <t>אלפינית</t>
  </si>
  <si>
    <t>אלקטרו חבש</t>
  </si>
  <si>
    <t>אילת</t>
  </si>
  <si>
    <t>אמיר גוארי</t>
  </si>
  <si>
    <t>אמישרגז בע"מ</t>
  </si>
  <si>
    <t>אפרוחי נשר בע"מ</t>
  </si>
  <si>
    <t>אפרוחי פלא</t>
  </si>
  <si>
    <t>אפרת-רביית פטם שו'ת מוגבלת</t>
  </si>
  <si>
    <t>אקולאב-זהר דליה שו'ת מוגבלת</t>
  </si>
  <si>
    <t>ארגון מגדלי עופות בישראל</t>
  </si>
  <si>
    <t>אשל שירותים וטרינריים בע"מ</t>
  </si>
  <si>
    <t>בונן קור</t>
  </si>
  <si>
    <t>בורקס הכפר בע"מ יבניאל</t>
  </si>
  <si>
    <t>ביכורי השדה הדרום שיווק תוצרת חקלאית (2002) בע"מ</t>
  </si>
  <si>
    <t>בלו סקאי שיווק 2004 בע"מ</t>
  </si>
  <si>
    <t>בנדא מגנטיק בע"מ</t>
  </si>
  <si>
    <t>בני משה ביטון</t>
  </si>
  <si>
    <t>בראון י.ובניו אפרוחים</t>
  </si>
  <si>
    <t>ברברה וולף בע"מ</t>
  </si>
  <si>
    <t>ברזילאי-יבוא ושיווק למספרות בע"מ</t>
  </si>
  <si>
    <t>ג. ויליפוד אינטרנשונאל בע"מ</t>
  </si>
  <si>
    <t>גבן דאיס ובניו-שרותי לול</t>
  </si>
  <si>
    <t>גבן סלימן בע"מ</t>
  </si>
  <si>
    <t>גבעת עוז</t>
  </si>
  <si>
    <t>גורי עצמון שניר</t>
  </si>
  <si>
    <t>גטר פוטו בע"מ</t>
  </si>
  <si>
    <t>גיא-אוני-שרותי חקלאות בע"מ</t>
  </si>
  <si>
    <t>שאלה: 3</t>
  </si>
  <si>
    <t>סעיף ג׳</t>
  </si>
  <si>
    <t>גיאטקס בע"מ</t>
  </si>
  <si>
    <t>גלידות החרמון</t>
  </si>
  <si>
    <t>גלידות שטראוס</t>
  </si>
  <si>
    <t>גלפלסט בע"מ</t>
  </si>
  <si>
    <t>גרין משה-משק חקלאי</t>
  </si>
  <si>
    <t>גת גבעת חיים</t>
  </si>
  <si>
    <t>דור גז</t>
  </si>
  <si>
    <t>חקלאי גבעת חיים</t>
  </si>
  <si>
    <t>לוריאל ישראל בע"מ-אינטרביוטי</t>
  </si>
  <si>
    <t>מתכת מעיין</t>
  </si>
  <si>
    <t>סלאח מחמוד גבאן</t>
  </si>
  <si>
    <t>פלאח גבאן ובניו</t>
  </si>
  <si>
    <r>
      <t xml:space="preserve">הנחה </t>
    </r>
    <r>
      <rPr>
        <b/>
        <sz val="16"/>
        <color rgb="FFFF0000"/>
        <rFont val="David"/>
        <family val="2"/>
      </rPr>
      <t xml:space="preserve">בש׳׳ח </t>
    </r>
  </si>
  <si>
    <r>
      <t xml:space="preserve">סך פדיון מהלקוח  </t>
    </r>
    <r>
      <rPr>
        <b/>
        <sz val="12"/>
        <color rgb="FFFF0000"/>
        <rFont val="David"/>
        <family val="2"/>
      </rPr>
      <t>בש"ח</t>
    </r>
    <r>
      <rPr>
        <b/>
        <sz val="12"/>
        <rFont val="David"/>
        <family val="2"/>
      </rPr>
      <t xml:space="preserve"> בשנת 2017</t>
    </r>
  </si>
  <si>
    <r>
      <t>סה׳׳כ פדיון מלקוחות</t>
    </r>
    <r>
      <rPr>
        <b/>
        <sz val="16"/>
        <color rgb="FF00B0F0"/>
        <rFont val="David"/>
        <family val="2"/>
      </rPr>
      <t xml:space="preserve"> בדולר </t>
    </r>
  </si>
  <si>
    <t>דוגמה נוספת</t>
  </si>
  <si>
    <t>קוד מזהה תושב</t>
  </si>
  <si>
    <t>שם מלא תושב</t>
  </si>
  <si>
    <t>תאריך לידה</t>
  </si>
  <si>
    <t>מקצוע</t>
  </si>
  <si>
    <t>שכר חודשי ברוטו</t>
  </si>
  <si>
    <t>גיל</t>
  </si>
  <si>
    <t>איזור</t>
  </si>
  <si>
    <t>ברוטו לאחר תוספת</t>
  </si>
  <si>
    <t>שלי הרמנוביץ</t>
  </si>
  <si>
    <t>רופא</t>
  </si>
  <si>
    <t>דנה טורבו</t>
  </si>
  <si>
    <t>אשדוד</t>
  </si>
  <si>
    <t>תברואן</t>
  </si>
  <si>
    <t>בתיה כהן</t>
  </si>
  <si>
    <t>מורה</t>
  </si>
  <si>
    <t>אלון בן שלום</t>
  </si>
  <si>
    <t>פתח תקוה</t>
  </si>
  <si>
    <t>מהנדס</t>
  </si>
  <si>
    <t>יעל לוי</t>
  </si>
  <si>
    <t>עו"ד</t>
  </si>
  <si>
    <t>שלי בן זאב</t>
  </si>
  <si>
    <t>עדן דהן</t>
  </si>
  <si>
    <t>תל-אביב יפו</t>
  </si>
  <si>
    <t>ערן גולן</t>
  </si>
  <si>
    <t>מרצה</t>
  </si>
  <si>
    <t>שי יגאנה</t>
  </si>
  <si>
    <t>עוזר סוציאלי</t>
  </si>
  <si>
    <t>קובי ישראלי</t>
  </si>
  <si>
    <t>יוסי לוי</t>
  </si>
  <si>
    <t>ניל שבו</t>
  </si>
  <si>
    <t>רואה חשבון</t>
  </si>
  <si>
    <t>מיכל שטבו</t>
  </si>
  <si>
    <t>שיווק</t>
  </si>
  <si>
    <t>איציק כהן</t>
  </si>
  <si>
    <t>עומר בן שלום</t>
  </si>
  <si>
    <t>ענבר אלפסי</t>
  </si>
  <si>
    <t>רוני ויינברג</t>
  </si>
  <si>
    <t>דני מיכאלוב</t>
  </si>
  <si>
    <t>ליאת בראל</t>
  </si>
  <si>
    <t>רונן לניר</t>
  </si>
  <si>
    <t>אביב גורן</t>
  </si>
  <si>
    <t>מאיה בן ארי</t>
  </si>
  <si>
    <t>ענת כהן</t>
  </si>
  <si>
    <t>צחי לוי</t>
  </si>
  <si>
    <t>דניאלה הלוי</t>
  </si>
  <si>
    <t>עמרי רווחה</t>
  </si>
  <si>
    <t>גלעד קלנר</t>
  </si>
  <si>
    <t>אלי מזרחי</t>
  </si>
  <si>
    <t>צחי רובד</t>
  </si>
  <si>
    <t>אורית פורשל</t>
  </si>
  <si>
    <t>זהבה נמצי</t>
  </si>
  <si>
    <t>גאולה צמח</t>
  </si>
  <si>
    <t>עדי בראל</t>
  </si>
  <si>
    <t>הרצל אביטן</t>
  </si>
  <si>
    <t>רונית דור</t>
  </si>
  <si>
    <t>טלי הראל</t>
  </si>
  <si>
    <t>אביגיל צרור</t>
  </si>
  <si>
    <t>עדי לוי</t>
  </si>
  <si>
    <t>ורד גונן</t>
  </si>
  <si>
    <t>שי שליח</t>
  </si>
  <si>
    <t>דורית מלמוד</t>
  </si>
  <si>
    <t>בת אל סלומון</t>
  </si>
  <si>
    <t>אורן רוטשנוביץ</t>
  </si>
  <si>
    <t>רון אברמוביץ</t>
  </si>
  <si>
    <t>משה אלימלך</t>
  </si>
  <si>
    <t>עמית לוי</t>
  </si>
  <si>
    <t>שמעון ברי</t>
  </si>
  <si>
    <t>שלומי גוזמן</t>
  </si>
  <si>
    <t>צילה פרח</t>
  </si>
  <si>
    <t>נילי כהן</t>
  </si>
  <si>
    <t>חיה אלפסי</t>
  </si>
  <si>
    <t>יוני כהן</t>
  </si>
  <si>
    <t>משה לוי</t>
  </si>
  <si>
    <t>שגב משה</t>
  </si>
  <si>
    <t>גלעד קלמן</t>
  </si>
  <si>
    <t>ירון זיו</t>
  </si>
  <si>
    <t>שרי קשטכר</t>
  </si>
  <si>
    <t>מספר רופא</t>
  </si>
  <si>
    <t>שם פרטי</t>
  </si>
  <si>
    <t>שם משפחה</t>
  </si>
  <si>
    <t>תאריך קבלת רשיון</t>
  </si>
  <si>
    <t>קוד התמחות ראשית</t>
  </si>
  <si>
    <t>מספר רשיון</t>
  </si>
  <si>
    <t>עיר מגורים</t>
  </si>
  <si>
    <t>התמחות רופא</t>
  </si>
  <si>
    <t>שכר מעודכן לאחר עליה</t>
  </si>
  <si>
    <t>שכר נטו לאחר עליה</t>
  </si>
  <si>
    <t>תלושים לחג</t>
  </si>
  <si>
    <t>שכר ביורו</t>
  </si>
  <si>
    <t>עמודה2</t>
  </si>
  <si>
    <t>סעיף 4 א</t>
  </si>
  <si>
    <t xml:space="preserve">אאוגן </t>
  </si>
  <si>
    <t>ליבוביץ</t>
  </si>
  <si>
    <t>נס ציונה</t>
  </si>
  <si>
    <t xml:space="preserve">אאוג'ן </t>
  </si>
  <si>
    <t>מנוליאו</t>
  </si>
  <si>
    <t>עומר</t>
  </si>
  <si>
    <t xml:space="preserve">אאוריקה </t>
  </si>
  <si>
    <t>גורכוב</t>
  </si>
  <si>
    <t>באר-שבע</t>
  </si>
  <si>
    <t xml:space="preserve">סעיף 4 ב </t>
  </si>
  <si>
    <t>יאסין</t>
  </si>
  <si>
    <t>קריית-גת</t>
  </si>
  <si>
    <t>יוסי</t>
  </si>
  <si>
    <t>שמעון</t>
  </si>
  <si>
    <t>קרית-מלאכי</t>
  </si>
  <si>
    <t>דן</t>
  </si>
  <si>
    <t>טננבאום</t>
  </si>
  <si>
    <t>רם</t>
  </si>
  <si>
    <t>אברמוביץ</t>
  </si>
  <si>
    <t>יגאנה</t>
  </si>
  <si>
    <t>רואי</t>
  </si>
  <si>
    <t>חן</t>
  </si>
  <si>
    <t>ירדן</t>
  </si>
  <si>
    <t>קלנר</t>
  </si>
  <si>
    <t>שירי</t>
  </si>
  <si>
    <t>מנור</t>
  </si>
  <si>
    <t>אמיר</t>
  </si>
  <si>
    <t>שרון</t>
  </si>
  <si>
    <t>עמית</t>
  </si>
  <si>
    <t>כהן</t>
  </si>
  <si>
    <t>שאלה 3 טבלת תנאים</t>
  </si>
  <si>
    <t>ענבר</t>
  </si>
  <si>
    <t>יפת</t>
  </si>
  <si>
    <t>צאלים</t>
  </si>
  <si>
    <t>הרדמה</t>
  </si>
  <si>
    <t>&gt;=01/01/1980</t>
  </si>
  <si>
    <t>&lt;=31/12/1995</t>
  </si>
  <si>
    <t>&gt;3000</t>
  </si>
  <si>
    <t>אורי</t>
  </si>
  <si>
    <t>גוזמן</t>
  </si>
  <si>
    <t>&lt;=31/12/2005</t>
  </si>
  <si>
    <t>פסיכיאטריה</t>
  </si>
  <si>
    <t>נדב</t>
  </si>
  <si>
    <t>רווח</t>
  </si>
  <si>
    <t>טל</t>
  </si>
  <si>
    <t>בן סלומון</t>
  </si>
  <si>
    <t>תומר</t>
  </si>
  <si>
    <t>בוקאי</t>
  </si>
  <si>
    <t>טלי</t>
  </si>
  <si>
    <t>רונן</t>
  </si>
  <si>
    <t>לוין</t>
  </si>
  <si>
    <t>אריק</t>
  </si>
  <si>
    <t>מושיקו</t>
  </si>
  <si>
    <t>דגן</t>
  </si>
  <si>
    <t>אסי</t>
  </si>
  <si>
    <t>וידר</t>
  </si>
  <si>
    <t>מור</t>
  </si>
  <si>
    <t>איל</t>
  </si>
  <si>
    <t>לישי</t>
  </si>
  <si>
    <t>ברמן</t>
  </si>
  <si>
    <t>אלון</t>
  </si>
  <si>
    <t>עמרי</t>
  </si>
  <si>
    <t>נוי</t>
  </si>
  <si>
    <t>סליקטר</t>
  </si>
  <si>
    <t>נטע</t>
  </si>
  <si>
    <t>פוקס</t>
  </si>
  <si>
    <t>עדי</t>
  </si>
  <si>
    <t>גירו</t>
  </si>
  <si>
    <t>שרה</t>
  </si>
  <si>
    <t>שוורץ</t>
  </si>
  <si>
    <t>אודי</t>
  </si>
  <si>
    <t>חיים</t>
  </si>
  <si>
    <t>גלי</t>
  </si>
  <si>
    <t>גרבר</t>
  </si>
  <si>
    <t>אורן</t>
  </si>
  <si>
    <t>בר</t>
  </si>
  <si>
    <t>נועם</t>
  </si>
  <si>
    <t>מי דן</t>
  </si>
  <si>
    <t>דור</t>
  </si>
  <si>
    <t>וויינר</t>
  </si>
  <si>
    <t>הסנר</t>
  </si>
  <si>
    <t>צחי</t>
  </si>
  <si>
    <t>וינר</t>
  </si>
  <si>
    <t>מיטל</t>
  </si>
  <si>
    <t>דורון</t>
  </si>
  <si>
    <t>מיכל</t>
  </si>
  <si>
    <t>בן עמי</t>
  </si>
  <si>
    <t>דניאלה</t>
  </si>
  <si>
    <t>שטיין</t>
  </si>
  <si>
    <t>אמה</t>
  </si>
  <si>
    <t>בנוב</t>
  </si>
  <si>
    <t xml:space="preserve">אבי </t>
  </si>
  <si>
    <t>ממלידר</t>
  </si>
  <si>
    <t>בר-לב</t>
  </si>
  <si>
    <t>אור אורטרגר</t>
  </si>
  <si>
    <t>אריה</t>
  </si>
  <si>
    <t>און</t>
  </si>
  <si>
    <t>ליה</t>
  </si>
  <si>
    <t>רוטשילד</t>
  </si>
  <si>
    <t>גדי</t>
  </si>
  <si>
    <t>ראפס</t>
  </si>
  <si>
    <t>כץ</t>
  </si>
  <si>
    <t>לנה</t>
  </si>
  <si>
    <t>יצחקי</t>
  </si>
  <si>
    <t>יאנה</t>
  </si>
  <si>
    <t>גלון</t>
  </si>
  <si>
    <t>אלכס</t>
  </si>
  <si>
    <t>עמרמי ויצמן</t>
  </si>
  <si>
    <t>מירב</t>
  </si>
  <si>
    <t>ברטס</t>
  </si>
  <si>
    <t>היינריך</t>
  </si>
  <si>
    <t>פורת</t>
  </si>
  <si>
    <t>רינגל</t>
  </si>
  <si>
    <t>גולדברג</t>
  </si>
  <si>
    <t>לוני</t>
  </si>
  <si>
    <t>ורסנו</t>
  </si>
  <si>
    <t>תמירה</t>
  </si>
  <si>
    <t>בן שבת</t>
  </si>
  <si>
    <t>אחוז מס</t>
  </si>
  <si>
    <t>מס מצטבר</t>
  </si>
  <si>
    <t>שם הרופא בעל הכי הרבה וותק</t>
  </si>
  <si>
    <t>קוד סטודנט</t>
  </si>
  <si>
    <t>מתמטיקה</t>
  </si>
  <si>
    <t>סטטיסטיקה</t>
  </si>
  <si>
    <t>כלכלה</t>
  </si>
  <si>
    <t>מימון</t>
  </si>
  <si>
    <t>דובר</t>
  </si>
  <si>
    <t>דוד</t>
  </si>
  <si>
    <t>מנחם</t>
  </si>
  <si>
    <t>ארנס</t>
  </si>
  <si>
    <t>לימור</t>
  </si>
  <si>
    <t>מודיעין</t>
  </si>
  <si>
    <t>בן</t>
  </si>
  <si>
    <t>פלג</t>
  </si>
  <si>
    <t>דקלה</t>
  </si>
  <si>
    <t>לוי</t>
  </si>
  <si>
    <t>נגה</t>
  </si>
  <si>
    <t>חוה</t>
  </si>
  <si>
    <t>מזרחי</t>
  </si>
  <si>
    <t>אתי</t>
  </si>
  <si>
    <t>רגב</t>
  </si>
  <si>
    <t>ורד</t>
  </si>
  <si>
    <t>מדרגה</t>
  </si>
  <si>
    <t>מצטבר</t>
  </si>
  <si>
    <t>אולי יבקשו שכר נטו כלומר שכר פחות מס - לפתור בעמודה Q</t>
  </si>
  <si>
    <t>טבלת תלושי חג:</t>
  </si>
  <si>
    <t>שנות וותק / עיר מגורים</t>
  </si>
  <si>
    <t>שלוף = XLOOKUP</t>
  </si>
  <si>
    <t>הצג = XLOOKUP</t>
  </si>
  <si>
    <t>ותק בשנים</t>
  </si>
  <si>
    <t>תוספת ותק על כל השנים</t>
  </si>
  <si>
    <t>המס בדולר</t>
  </si>
  <si>
    <t>ערך ההשקעה לאחר שנוריד את המס</t>
  </si>
  <si>
    <t>ערך ההשקעה לאחר שנוריד את המס בשח</t>
  </si>
  <si>
    <t>ותק רופא</t>
  </si>
  <si>
    <t>שער דולר</t>
  </si>
  <si>
    <t>תלושים לחג בשח</t>
  </si>
  <si>
    <t>תלושים לחג בדולר</t>
  </si>
  <si>
    <t>שאלה 6 תאי עזר</t>
  </si>
  <si>
    <t>נק שחורה 1</t>
  </si>
  <si>
    <t>נק שחורה 2</t>
  </si>
  <si>
    <t>נק שחורה 3</t>
  </si>
  <si>
    <t>DATE צהוב</t>
  </si>
  <si>
    <t>DATE ירוק</t>
  </si>
  <si>
    <t>DATE אדום</t>
  </si>
  <si>
    <t>X1</t>
  </si>
  <si>
    <t>X2</t>
  </si>
  <si>
    <t>X3</t>
  </si>
  <si>
    <t>המס עצמו</t>
  </si>
  <si>
    <t>(E2-X1)*X2+X3</t>
  </si>
  <si>
    <t>שכר נטו אם יבקשו</t>
  </si>
  <si>
    <t>שכר סופי
מה שביקשו!</t>
  </si>
  <si>
    <t>תנאי לנקודות 3 4 5</t>
  </si>
  <si>
    <t>תנאי לנקודות 1 + 2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</si>
</sst>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quot;₪&quot;\ * #,##0.00_ ;_ &quot;₪&quot;\ * \-#,##0.00_ ;_ &quot;₪&quot;\ * &quot;-&quot;??_ ;_ @_ "/>
    <numFmt numFmtId="43" formatCode="_ * #,##0.00_ ;_ * \-#,##0.00_ ;_ * &quot;-&quot;??_ ;_ @_ "/>
    <numFmt numFmtId="164" formatCode="_-[$$-409]* #,##0_ ;_-[$$-409]* \-#,##0\ ;_-[$$-409]* &quot;-&quot;??_ ;_-@_ "/>
    <numFmt numFmtId="165" formatCode="_ [$₪-40D]\ * #,##0.00_ ;_ [$₪-40D]\ * \-#,##0.00_ ;_ [$₪-40D]\ * &quot;-&quot;??_ ;_ @_ "/>
    <numFmt numFmtId="166" formatCode="_)@"/>
    <numFmt numFmtId="167" formatCode="_ * #,##0_ ;_ * \-#,##0_ ;_ * &quot;-&quot;??_ ;_ @_ "/>
    <numFmt numFmtId="168" formatCode="0.0%"/>
    <numFmt numFmtId="169" formatCode="&quot;₪&quot;\ #,##0.00"/>
    <numFmt numFmtId="170" formatCode="_-[$$-409]* #,##0.00_ ;_-[$$-409]* \-#,##0.00\ ;_-[$$-409]* &quot;-&quot;??_ ;_-@_ "/>
    <numFmt numFmtId="171" formatCode="_-* #,##0.00_₪_-;\-* #,##0.00_₪_-;_-* &quot;-&quot;??_₪_-;_-@_-"/>
    <numFmt numFmtId="172" formatCode="[$-1010000]d/m/yy;@"/>
    <numFmt numFmtId="173" formatCode="_ [$₪-40D]\ * #,##0_ ;_ [$₪-40D]\ * \-#,##0_ ;_ [$₪-40D]\ * &quot;-&quot;??_ ;_ @_ "/>
    <numFmt numFmtId="174" formatCode="_ &quot;₪&quot;\ * #,##0_ ;_ &quot;₪&quot;\ * \-#,##0_ ;_ &quot;₪&quot;\ * &quot;-&quot;??_ ;_ @_ "/>
    <numFmt numFmtId="175" formatCode="&quot;₪&quot;\ #,##0.0"/>
    <numFmt numFmtId="176" formatCode="&quot;₪&quot;\ #,##0"/>
  </numFmts>
  <fonts count="78" x14ac:knownFonts="1">
    <font>
      <sz val="11"/>
      <color theme="1"/>
      <name val="Arial"/>
      <family val="2"/>
      <scheme val="minor"/>
    </font>
    <font>
      <sz val="22"/>
      <color theme="1"/>
      <name val="Arial"/>
      <family val="2"/>
      <charset val="177"/>
      <scheme val="minor"/>
    </font>
    <font>
      <sz val="11"/>
      <color theme="1"/>
      <name val="Arial"/>
      <family val="2"/>
      <charset val="177"/>
      <scheme val="minor"/>
    </font>
    <font>
      <sz val="11"/>
      <color theme="1"/>
      <name val="Calibri"/>
      <family val="2"/>
    </font>
    <font>
      <b/>
      <sz val="11"/>
      <color theme="1"/>
      <name val="Arial"/>
      <family val="2"/>
      <scheme val="minor"/>
    </font>
    <font>
      <b/>
      <sz val="11"/>
      <color theme="1"/>
      <name val="Calibri"/>
      <family val="2"/>
    </font>
    <font>
      <b/>
      <sz val="12"/>
      <color theme="1"/>
      <name val="Calibri"/>
      <family val="2"/>
    </font>
    <font>
      <b/>
      <sz val="12"/>
      <name val="Calibri"/>
      <family val="2"/>
    </font>
    <font>
      <sz val="12"/>
      <color theme="1"/>
      <name val="Calibri"/>
      <family val="2"/>
    </font>
    <font>
      <b/>
      <sz val="16"/>
      <color theme="1"/>
      <name val="Calibri"/>
      <family val="2"/>
    </font>
    <font>
      <b/>
      <u/>
      <sz val="12"/>
      <color theme="1"/>
      <name val="Calibri"/>
      <family val="2"/>
    </font>
    <font>
      <sz val="12"/>
      <name val="Calibri"/>
      <family val="2"/>
    </font>
    <font>
      <b/>
      <u/>
      <sz val="11"/>
      <name val="Calibri"/>
      <family val="2"/>
    </font>
    <font>
      <b/>
      <u/>
      <sz val="11"/>
      <name val="Calibri"/>
      <family val="2"/>
      <charset val="177"/>
    </font>
    <font>
      <sz val="11"/>
      <name val="Calibri"/>
      <family val="2"/>
    </font>
    <font>
      <b/>
      <u val="singleAccounting"/>
      <sz val="12"/>
      <color theme="1"/>
      <name val="Calibri"/>
      <family val="2"/>
    </font>
    <font>
      <u val="singleAccounting"/>
      <sz val="12"/>
      <color theme="1"/>
      <name val="Calibri"/>
      <family val="2"/>
    </font>
    <font>
      <b/>
      <u/>
      <sz val="16"/>
      <name val="Calibri"/>
      <family val="2"/>
      <charset val="177"/>
    </font>
    <font>
      <b/>
      <u/>
      <sz val="16"/>
      <color theme="1"/>
      <name val="Arial"/>
      <family val="2"/>
      <charset val="177"/>
      <scheme val="minor"/>
    </font>
    <font>
      <sz val="16"/>
      <name val="Calibri"/>
      <family val="2"/>
    </font>
    <font>
      <sz val="16"/>
      <color theme="1"/>
      <name val="Arial"/>
      <family val="2"/>
      <scheme val="minor"/>
    </font>
    <font>
      <b/>
      <sz val="14"/>
      <color theme="1"/>
      <name val="Calibri"/>
      <family val="2"/>
    </font>
    <font>
      <b/>
      <u/>
      <sz val="18"/>
      <name val="Calibri"/>
      <family val="2"/>
    </font>
    <font>
      <b/>
      <sz val="14"/>
      <name val="Calibri"/>
      <family val="2"/>
    </font>
    <font>
      <b/>
      <sz val="16"/>
      <name val="Calibri"/>
      <family val="2"/>
    </font>
    <font>
      <b/>
      <sz val="11"/>
      <color theme="1"/>
      <name val="Arial"/>
      <family val="2"/>
      <charset val="177"/>
      <scheme val="minor"/>
    </font>
    <font>
      <sz val="11"/>
      <color theme="1"/>
      <name val="Arial"/>
      <family val="2"/>
      <scheme val="minor"/>
    </font>
    <font>
      <sz val="14"/>
      <color theme="1"/>
      <name val="Calibri"/>
      <family val="2"/>
    </font>
    <font>
      <sz val="14"/>
      <color theme="1"/>
      <name val="Arial"/>
      <family val="2"/>
      <scheme val="minor"/>
    </font>
    <font>
      <sz val="16"/>
      <color theme="1"/>
      <name val="Arial"/>
      <family val="2"/>
      <charset val="177"/>
      <scheme val="minor"/>
    </font>
    <font>
      <sz val="16"/>
      <color theme="1"/>
      <name val="Calibri"/>
      <family val="2"/>
    </font>
    <font>
      <sz val="18"/>
      <color theme="1"/>
      <name val="Arial"/>
      <family val="2"/>
      <charset val="177"/>
      <scheme val="minor"/>
    </font>
    <font>
      <sz val="18"/>
      <color theme="1"/>
      <name val="Calibri"/>
      <family val="2"/>
    </font>
    <font>
      <sz val="18"/>
      <color theme="1"/>
      <name val="Arial"/>
      <family val="2"/>
      <scheme val="minor"/>
    </font>
    <font>
      <strike/>
      <sz val="11"/>
      <color theme="1"/>
      <name val="Arial"/>
      <family val="2"/>
      <charset val="177"/>
      <scheme val="minor"/>
    </font>
    <font>
      <b/>
      <sz val="12"/>
      <color theme="1"/>
      <name val="Arial"/>
      <family val="2"/>
      <scheme val="minor"/>
    </font>
    <font>
      <b/>
      <sz val="11"/>
      <name val="Calibri"/>
      <family val="2"/>
    </font>
    <font>
      <b/>
      <u/>
      <sz val="20"/>
      <color theme="1"/>
      <name val="Arial"/>
      <family val="2"/>
      <scheme val="minor"/>
    </font>
    <font>
      <sz val="16"/>
      <color rgb="FFFF0000"/>
      <name val="Arial"/>
      <family val="2"/>
      <scheme val="minor"/>
    </font>
    <font>
      <strike/>
      <sz val="11"/>
      <color theme="1"/>
      <name val="Arial"/>
      <family val="2"/>
      <scheme val="minor"/>
    </font>
    <font>
      <b/>
      <u/>
      <sz val="12"/>
      <color theme="1"/>
      <name val="Arial"/>
      <family val="2"/>
      <scheme val="minor"/>
    </font>
    <font>
      <b/>
      <u/>
      <sz val="14"/>
      <color theme="1"/>
      <name val="Arial"/>
      <family val="2"/>
      <scheme val="minor"/>
    </font>
    <font>
      <sz val="12"/>
      <name val="Arial"/>
      <family val="2"/>
      <scheme val="minor"/>
    </font>
    <font>
      <strike/>
      <sz val="20"/>
      <color theme="1"/>
      <name val="Arial"/>
      <family val="2"/>
      <scheme val="minor"/>
    </font>
    <font>
      <b/>
      <sz val="12"/>
      <color rgb="FFFF0000"/>
      <name val="Calibri"/>
      <family val="2"/>
    </font>
    <font>
      <b/>
      <u/>
      <sz val="12"/>
      <name val="Calibri"/>
      <family val="2"/>
    </font>
    <font>
      <b/>
      <u/>
      <sz val="18"/>
      <color theme="1"/>
      <name val="Calibri"/>
      <family val="2"/>
    </font>
    <font>
      <b/>
      <sz val="12"/>
      <color rgb="FFFF99FF"/>
      <name val="Calibri"/>
      <family val="2"/>
    </font>
    <font>
      <sz val="14"/>
      <color rgb="FFFF0000"/>
      <name val="Calibri"/>
      <family val="2"/>
    </font>
    <font>
      <b/>
      <sz val="12"/>
      <color rgb="FF00B050"/>
      <name val="Calibri"/>
      <family val="2"/>
    </font>
    <font>
      <sz val="14"/>
      <color rgb="FF00B0F0"/>
      <name val="Calibri"/>
      <family val="2"/>
    </font>
    <font>
      <sz val="11"/>
      <color rgb="FF00B0F0"/>
      <name val="Arial"/>
      <family val="2"/>
      <scheme val="minor"/>
    </font>
    <font>
      <sz val="11"/>
      <color rgb="FF00B050"/>
      <name val="Arial"/>
      <family val="2"/>
      <scheme val="minor"/>
    </font>
    <font>
      <sz val="11"/>
      <color rgb="FFFF99FF"/>
      <name val="Arial"/>
      <family val="2"/>
      <scheme val="minor"/>
    </font>
    <font>
      <sz val="10"/>
      <name val="Arial"/>
      <family val="2"/>
    </font>
    <font>
      <b/>
      <sz val="11"/>
      <name val="David"/>
      <family val="2"/>
    </font>
    <font>
      <sz val="11"/>
      <name val="David"/>
      <family val="2"/>
    </font>
    <font>
      <b/>
      <sz val="10"/>
      <name val="Arial"/>
      <family val="2"/>
    </font>
    <font>
      <b/>
      <sz val="22"/>
      <name val="Arial"/>
      <family val="2"/>
    </font>
    <font>
      <b/>
      <sz val="12"/>
      <name val="David"/>
      <family val="2"/>
    </font>
    <font>
      <b/>
      <sz val="12"/>
      <color rgb="FFFF0000"/>
      <name val="David"/>
      <family val="2"/>
    </font>
    <font>
      <b/>
      <sz val="16"/>
      <name val="David"/>
      <family val="2"/>
    </font>
    <font>
      <b/>
      <sz val="16"/>
      <color rgb="FFFF0000"/>
      <name val="David"/>
      <family val="2"/>
    </font>
    <font>
      <b/>
      <sz val="16"/>
      <color rgb="FF00B0F0"/>
      <name val="David"/>
      <family val="2"/>
    </font>
    <font>
      <sz val="24"/>
      <color theme="1"/>
      <name val="Arial"/>
      <family val="2"/>
      <charset val="177"/>
      <scheme val="minor"/>
    </font>
    <font>
      <b/>
      <u/>
      <sz val="10"/>
      <name val="Arial"/>
      <family val="2"/>
    </font>
    <font>
      <sz val="8"/>
      <color theme="1"/>
      <name val="Arial"/>
      <family val="2"/>
      <scheme val="minor"/>
    </font>
    <font>
      <sz val="8"/>
      <name val="Arial"/>
      <family val="2"/>
    </font>
    <font>
      <b/>
      <sz val="8"/>
      <name val="Arial"/>
      <family val="2"/>
    </font>
    <font>
      <sz val="10"/>
      <color theme="1"/>
      <name val="Arial"/>
      <family val="2"/>
      <scheme val="minor"/>
    </font>
    <font>
      <b/>
      <sz val="10"/>
      <color theme="1"/>
      <name val="Arial"/>
      <family val="2"/>
      <scheme val="minor"/>
    </font>
    <font>
      <sz val="8"/>
      <name val="Arial"/>
      <family val="2"/>
      <scheme val="minor"/>
    </font>
    <font>
      <b/>
      <sz val="11"/>
      <color theme="0"/>
      <name val="Arial"/>
      <family val="2"/>
      <scheme val="minor"/>
    </font>
    <font>
      <sz val="11"/>
      <color theme="1"/>
      <name val="Roboto"/>
    </font>
    <font>
      <b/>
      <u/>
      <sz val="11"/>
      <name val="David"/>
      <family val="2"/>
    </font>
    <font>
      <sz val="26"/>
      <name val="David"/>
      <family val="2"/>
    </font>
    <font>
      <b/>
      <u/>
      <sz val="14"/>
      <name val="David"/>
      <family val="2"/>
    </font>
    <font>
      <sz val="14"/>
      <name val="David"/>
      <family val="2"/>
    </font>
  </fonts>
  <fills count="2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FF00"/>
        <bgColor theme="4" tint="0.79998168889431442"/>
      </patternFill>
    </fill>
    <fill>
      <patternFill patternType="solid">
        <fgColor rgb="FFFF99FF"/>
        <bgColor theme="4" tint="0.79998168889431442"/>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CCCFF"/>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CC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theme="4" tint="0.79998168889431442"/>
      </patternFill>
    </fill>
    <fill>
      <patternFill patternType="solid">
        <fgColor rgb="FF92D050"/>
        <bgColor theme="4" tint="0.79998168889431442"/>
      </patternFill>
    </fill>
    <fill>
      <patternFill patternType="solid">
        <fgColor theme="4"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4" tint="0.39997558519241921"/>
      </top>
      <bottom style="thin">
        <color theme="4" tint="0.39997558519241921"/>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4">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54" fillId="0" borderId="0" applyFont="0" applyFill="0" applyBorder="0" applyAlignment="0" applyProtection="0"/>
    <xf numFmtId="44" fontId="26" fillId="0" borderId="0" applyFont="0" applyFill="0" applyBorder="0" applyAlignment="0" applyProtection="0"/>
    <xf numFmtId="0" fontId="56" fillId="0" borderId="0"/>
    <xf numFmtId="0" fontId="54" fillId="0" borderId="0"/>
    <xf numFmtId="0" fontId="56" fillId="0" borderId="0"/>
  </cellStyleXfs>
  <cellXfs count="445">
    <xf numFmtId="0" fontId="0" fillId="0" borderId="0" xfId="0"/>
    <xf numFmtId="0" fontId="2" fillId="0" borderId="0" xfId="1" applyAlignment="1">
      <alignment horizontal="center" vertical="center" wrapText="1"/>
    </xf>
    <xf numFmtId="0" fontId="3" fillId="0" borderId="0" xfId="1" applyFont="1" applyAlignment="1">
      <alignment horizontal="center" vertical="center" wrapText="1"/>
    </xf>
    <xf numFmtId="43" fontId="0" fillId="0" borderId="0" xfId="2" applyFont="1" applyFill="1" applyBorder="1" applyAlignment="1">
      <alignment horizontal="center" vertical="center" wrapText="1"/>
    </xf>
    <xf numFmtId="0" fontId="3" fillId="0" borderId="1" xfId="1" applyFont="1" applyBorder="1" applyAlignment="1">
      <alignment horizontal="center" vertical="center"/>
    </xf>
    <xf numFmtId="14" fontId="3" fillId="0" borderId="1" xfId="1" applyNumberFormat="1" applyFont="1" applyBorder="1" applyAlignment="1">
      <alignment horizontal="center" vertical="center"/>
    </xf>
    <xf numFmtId="164" fontId="3" fillId="0" borderId="1" xfId="2" applyNumberFormat="1" applyFont="1" applyBorder="1" applyAlignment="1">
      <alignment horizontal="center" vertical="center"/>
    </xf>
    <xf numFmtId="164" fontId="3" fillId="0" borderId="1" xfId="1" applyNumberFormat="1" applyFont="1" applyBorder="1" applyAlignment="1">
      <alignment horizontal="center" vertical="center"/>
    </xf>
    <xf numFmtId="165" fontId="2" fillId="0" borderId="0" xfId="1" applyNumberFormat="1" applyAlignment="1">
      <alignment horizontal="center" vertical="center"/>
    </xf>
    <xf numFmtId="0" fontId="2" fillId="0" borderId="0" xfId="1" applyAlignment="1">
      <alignment horizontal="center" vertical="center"/>
    </xf>
    <xf numFmtId="14" fontId="2" fillId="0" borderId="0" xfId="1" applyNumberFormat="1" applyAlignment="1">
      <alignment horizontal="center" vertical="center"/>
    </xf>
    <xf numFmtId="0" fontId="3" fillId="0" borderId="0" xfId="1" applyFont="1" applyAlignment="1">
      <alignment horizontal="center" vertical="center"/>
    </xf>
    <xf numFmtId="43" fontId="0" fillId="0" borderId="0" xfId="2" applyFont="1" applyFill="1" applyBorder="1" applyAlignment="1">
      <alignment horizontal="center" vertical="center"/>
    </xf>
    <xf numFmtId="2" fontId="0" fillId="0" borderId="0" xfId="2" applyNumberFormat="1" applyFont="1" applyFill="1" applyBorder="1" applyAlignment="1">
      <alignment horizontal="center" vertical="center"/>
    </xf>
    <xf numFmtId="164" fontId="3" fillId="0" borderId="1" xfId="2" applyNumberFormat="1" applyFont="1" applyFill="1" applyBorder="1" applyAlignment="1">
      <alignment horizontal="center" vertical="center"/>
    </xf>
    <xf numFmtId="0" fontId="3" fillId="0" borderId="2" xfId="1" applyFont="1" applyBorder="1" applyAlignment="1">
      <alignment horizontal="center" vertical="center"/>
    </xf>
    <xf numFmtId="0" fontId="3" fillId="0" borderId="6" xfId="1" applyFont="1" applyBorder="1" applyAlignment="1">
      <alignment horizontal="center" vertical="center"/>
    </xf>
    <xf numFmtId="10" fontId="3" fillId="0" borderId="2" xfId="3" applyNumberFormat="1" applyFont="1" applyFill="1" applyBorder="1" applyAlignment="1">
      <alignment horizontal="center" vertical="center"/>
    </xf>
    <xf numFmtId="165" fontId="4" fillId="0" borderId="0" xfId="1" applyNumberFormat="1" applyFont="1" applyAlignment="1">
      <alignment horizontal="center" vertical="center"/>
    </xf>
    <xf numFmtId="14" fontId="4" fillId="0" borderId="0" xfId="1" applyNumberFormat="1" applyFont="1" applyAlignment="1">
      <alignment horizontal="center" vertical="center"/>
    </xf>
    <xf numFmtId="164" fontId="2" fillId="0" borderId="0" xfId="1" applyNumberFormat="1" applyAlignment="1">
      <alignment horizontal="center" vertical="center"/>
    </xf>
    <xf numFmtId="9" fontId="4" fillId="0" borderId="0" xfId="3" applyFont="1" applyFill="1" applyBorder="1" applyAlignment="1">
      <alignment horizontal="center" vertical="center"/>
    </xf>
    <xf numFmtId="0" fontId="4" fillId="0" borderId="0" xfId="1" applyFont="1" applyAlignment="1">
      <alignment horizontal="center" vertical="center"/>
    </xf>
    <xf numFmtId="14" fontId="1" fillId="0" borderId="0" xfId="1" applyNumberFormat="1" applyFont="1" applyAlignment="1">
      <alignment horizontal="center" vertical="center"/>
    </xf>
    <xf numFmtId="0" fontId="2" fillId="5" borderId="3" xfId="1" applyFill="1" applyBorder="1" applyAlignment="1">
      <alignment horizontal="center" vertical="center"/>
    </xf>
    <xf numFmtId="0" fontId="6" fillId="6" borderId="1" xfId="1" applyFont="1" applyFill="1" applyBorder="1" applyAlignment="1">
      <alignment horizontal="center" vertical="center" wrapText="1"/>
    </xf>
    <xf numFmtId="0" fontId="6" fillId="4" borderId="0" xfId="4" applyFont="1" applyFill="1" applyAlignment="1">
      <alignment horizontal="center" vertical="center" wrapText="1"/>
    </xf>
    <xf numFmtId="0" fontId="6" fillId="0" borderId="0" xfId="4" applyFont="1" applyAlignment="1">
      <alignment horizontal="center" vertical="center" wrapText="1"/>
    </xf>
    <xf numFmtId="0" fontId="8" fillId="0" borderId="0" xfId="4" applyFont="1" applyAlignment="1">
      <alignment horizontal="center" vertical="center"/>
    </xf>
    <xf numFmtId="0" fontId="9" fillId="0" borderId="0" xfId="4" applyFont="1" applyAlignment="1">
      <alignment horizontal="center" vertical="center" wrapText="1"/>
    </xf>
    <xf numFmtId="0" fontId="10" fillId="0" borderId="0" xfId="4" applyFont="1" applyAlignment="1">
      <alignment horizontal="center" vertical="center"/>
    </xf>
    <xf numFmtId="167" fontId="8" fillId="0" borderId="0" xfId="4" applyNumberFormat="1" applyFont="1" applyAlignment="1">
      <alignment horizontal="center" vertical="center" wrapText="1"/>
    </xf>
    <xf numFmtId="49" fontId="7" fillId="0" borderId="0" xfId="4" applyNumberFormat="1" applyFont="1" applyAlignment="1">
      <alignment horizontal="center" vertical="center"/>
    </xf>
    <xf numFmtId="49" fontId="7" fillId="0" borderId="0" xfId="4" applyNumberFormat="1" applyFont="1" applyAlignment="1">
      <alignment horizontal="center" vertical="center" wrapText="1"/>
    </xf>
    <xf numFmtId="49" fontId="13" fillId="0" borderId="0" xfId="0" applyNumberFormat="1" applyFont="1" applyAlignment="1">
      <alignment horizontal="center" vertical="center" wrapText="1"/>
    </xf>
    <xf numFmtId="166" fontId="11" fillId="0" borderId="7" xfId="4" applyNumberFormat="1" applyFont="1" applyBorder="1" applyAlignment="1">
      <alignment horizontal="center" vertical="center" readingOrder="2"/>
    </xf>
    <xf numFmtId="14" fontId="8" fillId="0" borderId="7" xfId="4" applyNumberFormat="1" applyFont="1" applyBorder="1" applyAlignment="1">
      <alignment horizontal="center" vertical="center"/>
    </xf>
    <xf numFmtId="167" fontId="8" fillId="0" borderId="1" xfId="5" applyNumberFormat="1" applyFont="1" applyFill="1" applyBorder="1" applyAlignment="1">
      <alignment horizontal="center" vertical="center"/>
    </xf>
    <xf numFmtId="0" fontId="8" fillId="0" borderId="4" xfId="4" applyFont="1" applyBorder="1" applyAlignment="1">
      <alignment horizontal="center" vertical="center"/>
    </xf>
    <xf numFmtId="167" fontId="8" fillId="0" borderId="0" xfId="4" applyNumberFormat="1" applyFont="1" applyAlignment="1">
      <alignment horizontal="center" vertical="center"/>
    </xf>
    <xf numFmtId="14" fontId="8" fillId="0" borderId="0" xfId="4" applyNumberFormat="1" applyFont="1" applyAlignment="1">
      <alignment horizontal="center" vertical="center"/>
    </xf>
    <xf numFmtId="166" fontId="11" fillId="0" borderId="0" xfId="4" applyNumberFormat="1" applyFont="1" applyAlignment="1">
      <alignment horizontal="center" vertical="center" readingOrder="2"/>
    </xf>
    <xf numFmtId="166" fontId="11" fillId="0" borderId="2" xfId="4" applyNumberFormat="1" applyFont="1" applyBorder="1" applyAlignment="1">
      <alignment horizontal="center" vertical="center" readingOrder="2"/>
    </xf>
    <xf numFmtId="14" fontId="8" fillId="0" borderId="2" xfId="4" applyNumberFormat="1" applyFont="1" applyBorder="1" applyAlignment="1">
      <alignment horizontal="center" vertical="center"/>
    </xf>
    <xf numFmtId="0" fontId="8" fillId="0" borderId="1" xfId="4" applyFont="1" applyBorder="1" applyAlignment="1">
      <alignment horizontal="center" vertical="center"/>
    </xf>
    <xf numFmtId="0" fontId="11" fillId="0" borderId="0" xfId="4" applyFont="1" applyAlignment="1">
      <alignment horizontal="center" vertical="center"/>
    </xf>
    <xf numFmtId="167" fontId="15" fillId="0" borderId="0" xfId="5" applyNumberFormat="1" applyFont="1" applyFill="1" applyBorder="1" applyAlignment="1">
      <alignment horizontal="center" vertical="center"/>
    </xf>
    <xf numFmtId="167" fontId="8" fillId="0" borderId="0" xfId="5" applyNumberFormat="1" applyFont="1" applyFill="1" applyBorder="1" applyAlignment="1">
      <alignment horizontal="center" vertical="center"/>
    </xf>
    <xf numFmtId="167" fontId="11" fillId="0" borderId="0" xfId="5" applyNumberFormat="1" applyFont="1" applyFill="1" applyBorder="1" applyAlignment="1">
      <alignment horizontal="center" vertical="center"/>
    </xf>
    <xf numFmtId="167" fontId="16" fillId="0" borderId="0" xfId="4" applyNumberFormat="1" applyFont="1" applyAlignment="1">
      <alignment horizontal="center" vertical="center"/>
    </xf>
    <xf numFmtId="168" fontId="10" fillId="0" borderId="0" xfId="6" applyNumberFormat="1" applyFont="1" applyFill="1" applyBorder="1" applyAlignment="1">
      <alignment horizontal="center" vertical="center"/>
    </xf>
    <xf numFmtId="49" fontId="17" fillId="0" borderId="1" xfId="0" applyNumberFormat="1" applyFont="1" applyBorder="1" applyAlignment="1">
      <alignment horizontal="center" vertical="center" wrapText="1"/>
    </xf>
    <xf numFmtId="0" fontId="18" fillId="7" borderId="1" xfId="0" applyFont="1" applyFill="1" applyBorder="1" applyAlignment="1">
      <alignment horizontal="center" vertical="center"/>
    </xf>
    <xf numFmtId="49" fontId="23" fillId="0" borderId="7" xfId="4" applyNumberFormat="1" applyFont="1" applyBorder="1" applyAlignment="1">
      <alignment horizontal="center" vertical="center" wrapText="1"/>
    </xf>
    <xf numFmtId="49" fontId="24" fillId="0" borderId="3" xfId="4" applyNumberFormat="1" applyFont="1" applyBorder="1" applyAlignment="1">
      <alignment horizontal="center" vertical="center" wrapText="1"/>
    </xf>
    <xf numFmtId="14" fontId="8" fillId="0" borderId="8" xfId="4" applyNumberFormat="1" applyFont="1" applyBorder="1" applyAlignment="1">
      <alignment horizontal="center" vertical="center"/>
    </xf>
    <xf numFmtId="2" fontId="8" fillId="0" borderId="4" xfId="4" applyNumberFormat="1" applyFont="1" applyBorder="1" applyAlignment="1">
      <alignment horizontal="center" vertical="center"/>
    </xf>
    <xf numFmtId="166" fontId="19" fillId="0" borderId="1" xfId="0" applyNumberFormat="1" applyFont="1" applyBorder="1" applyAlignment="1">
      <alignment horizontal="center" vertical="center" readingOrder="2"/>
    </xf>
    <xf numFmtId="167" fontId="20" fillId="0" borderId="1" xfId="5" applyNumberFormat="1" applyFont="1" applyFill="1" applyBorder="1" applyAlignment="1">
      <alignment horizontal="center" vertical="center"/>
    </xf>
    <xf numFmtId="0" fontId="20" fillId="0" borderId="1" xfId="0" applyFont="1" applyBorder="1" applyAlignment="1">
      <alignment horizontal="center" vertical="center"/>
    </xf>
    <xf numFmtId="2" fontId="8" fillId="0" borderId="0" xfId="4" applyNumberFormat="1" applyFont="1" applyAlignment="1">
      <alignment horizontal="center" vertical="center"/>
    </xf>
    <xf numFmtId="2" fontId="10" fillId="0" borderId="0" xfId="4" applyNumberFormat="1" applyFont="1" applyAlignment="1">
      <alignment horizontal="center" vertical="center"/>
    </xf>
    <xf numFmtId="2" fontId="11" fillId="0" borderId="0" xfId="4" applyNumberFormat="1" applyFont="1" applyAlignment="1">
      <alignment horizontal="center" vertical="center"/>
    </xf>
    <xf numFmtId="0" fontId="12" fillId="0" borderId="0" xfId="0" applyFont="1" applyAlignment="1">
      <alignment horizontal="center" vertical="center"/>
    </xf>
    <xf numFmtId="166" fontId="14" fillId="0" borderId="0" xfId="0" applyNumberFormat="1" applyFont="1" applyAlignment="1">
      <alignment horizontal="center" vertical="center" readingOrder="2"/>
    </xf>
    <xf numFmtId="0" fontId="5" fillId="0" borderId="1" xfId="1" applyFont="1" applyBorder="1" applyAlignment="1">
      <alignment horizontal="center" vertical="center" wrapText="1"/>
    </xf>
    <xf numFmtId="0" fontId="5" fillId="2" borderId="1" xfId="1" applyFont="1" applyFill="1" applyBorder="1" applyAlignment="1">
      <alignment horizontal="center" vertical="center" wrapText="1"/>
    </xf>
    <xf numFmtId="0" fontId="25" fillId="0" borderId="0" xfId="1" applyFont="1" applyAlignment="1">
      <alignment horizontal="center" vertical="center" wrapText="1"/>
    </xf>
    <xf numFmtId="170" fontId="2" fillId="0" borderId="0" xfId="1" applyNumberFormat="1" applyAlignment="1">
      <alignment horizontal="center" vertical="center"/>
    </xf>
    <xf numFmtId="0" fontId="2" fillId="4" borderId="0" xfId="1" applyFill="1" applyAlignment="1">
      <alignment horizontal="center" vertical="center"/>
    </xf>
    <xf numFmtId="0" fontId="25" fillId="4" borderId="0" xfId="1" applyFont="1" applyFill="1" applyAlignment="1">
      <alignment horizontal="center" vertical="center" wrapText="1"/>
    </xf>
    <xf numFmtId="0" fontId="10" fillId="0" borderId="0" xfId="4" applyFont="1" applyAlignment="1">
      <alignment horizontal="center" vertical="center" wrapText="1"/>
    </xf>
    <xf numFmtId="169" fontId="2" fillId="0" borderId="0" xfId="1" applyNumberFormat="1" applyAlignment="1">
      <alignment horizontal="center" vertical="center"/>
    </xf>
    <xf numFmtId="0" fontId="31" fillId="0" borderId="10" xfId="1" applyFont="1" applyBorder="1" applyAlignment="1">
      <alignment horizontal="center" vertical="center"/>
    </xf>
    <xf numFmtId="0" fontId="32" fillId="4" borderId="11" xfId="1" applyFont="1" applyFill="1" applyBorder="1" applyAlignment="1">
      <alignment horizontal="center" vertical="center"/>
    </xf>
    <xf numFmtId="0" fontId="32" fillId="4" borderId="12" xfId="1" applyFont="1" applyFill="1" applyBorder="1" applyAlignment="1">
      <alignment horizontal="center" vertical="center"/>
    </xf>
    <xf numFmtId="0" fontId="32" fillId="5" borderId="13" xfId="1" applyFont="1" applyFill="1" applyBorder="1" applyAlignment="1">
      <alignment horizontal="center" vertical="center"/>
    </xf>
    <xf numFmtId="9" fontId="33" fillId="7" borderId="1" xfId="3" applyFont="1" applyFill="1" applyBorder="1" applyAlignment="1">
      <alignment horizontal="center" vertical="center"/>
    </xf>
    <xf numFmtId="9" fontId="33" fillId="7" borderId="14" xfId="3" applyFont="1" applyFill="1" applyBorder="1" applyAlignment="1">
      <alignment horizontal="center" vertical="center"/>
    </xf>
    <xf numFmtId="0" fontId="32" fillId="5" borderId="15" xfId="1" applyFont="1" applyFill="1" applyBorder="1" applyAlignment="1">
      <alignment horizontal="center" vertical="center"/>
    </xf>
    <xf numFmtId="9" fontId="33" fillId="7" borderId="16" xfId="3" applyFont="1" applyFill="1" applyBorder="1" applyAlignment="1">
      <alignment horizontal="center" vertical="center"/>
    </xf>
    <xf numFmtId="9" fontId="33" fillId="7" borderId="17" xfId="3" applyFont="1" applyFill="1" applyBorder="1" applyAlignment="1">
      <alignment horizontal="center" vertical="center"/>
    </xf>
    <xf numFmtId="0" fontId="14" fillId="0" borderId="0" xfId="0" applyFont="1"/>
    <xf numFmtId="0" fontId="3" fillId="0" borderId="0" xfId="0" applyFont="1"/>
    <xf numFmtId="49" fontId="36" fillId="3" borderId="1" xfId="0" applyNumberFormat="1" applyFont="1" applyFill="1" applyBorder="1" applyAlignment="1">
      <alignment horizontal="center" vertical="center" wrapText="1"/>
    </xf>
    <xf numFmtId="0" fontId="36" fillId="0" borderId="0" xfId="0" applyFont="1" applyAlignment="1">
      <alignment horizontal="center"/>
    </xf>
    <xf numFmtId="166" fontId="36" fillId="8" borderId="1" xfId="0" applyNumberFormat="1" applyFont="1" applyFill="1" applyBorder="1" applyAlignment="1">
      <alignment readingOrder="2"/>
    </xf>
    <xf numFmtId="166" fontId="36" fillId="4" borderId="1" xfId="0" applyNumberFormat="1" applyFont="1" applyFill="1" applyBorder="1" applyAlignment="1">
      <alignment readingOrder="2"/>
    </xf>
    <xf numFmtId="0" fontId="36" fillId="9" borderId="1" xfId="0" applyFont="1" applyFill="1" applyBorder="1" applyAlignment="1">
      <alignment readingOrder="2"/>
    </xf>
    <xf numFmtId="0" fontId="0" fillId="7" borderId="1" xfId="0" applyFill="1" applyBorder="1"/>
    <xf numFmtId="0" fontId="0" fillId="7" borderId="1" xfId="0" applyFill="1" applyBorder="1" applyAlignment="1">
      <alignment wrapText="1"/>
    </xf>
    <xf numFmtId="0" fontId="0" fillId="3" borderId="0" xfId="0" applyFill="1"/>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0" fillId="0" borderId="0" xfId="0"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164" fontId="3" fillId="0" borderId="1" xfId="7" applyNumberFormat="1" applyFont="1" applyBorder="1" applyAlignment="1">
      <alignment horizontal="center" vertical="center"/>
    </xf>
    <xf numFmtId="14" fontId="0" fillId="0" borderId="0" xfId="0" applyNumberFormat="1" applyAlignment="1">
      <alignment horizontal="center" vertical="center"/>
    </xf>
    <xf numFmtId="0" fontId="0" fillId="3" borderId="0" xfId="0" applyFill="1" applyAlignment="1">
      <alignment horizontal="center" vertical="center"/>
    </xf>
    <xf numFmtId="0" fontId="20" fillId="0" borderId="0" xfId="0" applyFont="1" applyAlignment="1">
      <alignment horizontal="center" vertical="center"/>
    </xf>
    <xf numFmtId="14" fontId="39" fillId="0" borderId="0" xfId="0" applyNumberFormat="1"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wrapText="1"/>
    </xf>
    <xf numFmtId="0" fontId="6"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20" fillId="0" borderId="0" xfId="0" applyNumberFormat="1" applyFont="1" applyAlignment="1">
      <alignment horizontal="center" vertical="center"/>
    </xf>
    <xf numFmtId="0" fontId="41" fillId="0" borderId="0" xfId="0" applyFont="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6" fillId="12" borderId="8" xfId="0" applyFont="1" applyFill="1" applyBorder="1" applyAlignment="1">
      <alignment horizontal="center" vertical="center" wrapText="1"/>
    </xf>
    <xf numFmtId="0" fontId="3" fillId="0" borderId="1" xfId="1" applyFont="1" applyBorder="1" applyAlignment="1">
      <alignment wrapText="1"/>
    </xf>
    <xf numFmtId="0" fontId="2" fillId="13" borderId="0" xfId="1" applyFill="1" applyAlignment="1">
      <alignment wrapText="1"/>
    </xf>
    <xf numFmtId="0" fontId="2" fillId="0" borderId="0" xfId="1" applyAlignment="1">
      <alignment wrapText="1"/>
    </xf>
    <xf numFmtId="43" fontId="0" fillId="3" borderId="0" xfId="2" applyFont="1" applyFill="1" applyBorder="1" applyAlignment="1">
      <alignment wrapText="1"/>
    </xf>
    <xf numFmtId="0" fontId="3" fillId="0" borderId="1" xfId="1" applyFont="1" applyBorder="1"/>
    <xf numFmtId="14" fontId="3" fillId="0" borderId="1" xfId="1" applyNumberFormat="1" applyFont="1" applyBorder="1"/>
    <xf numFmtId="164" fontId="3" fillId="0" borderId="1" xfId="2" applyNumberFormat="1" applyFont="1" applyBorder="1"/>
    <xf numFmtId="10" fontId="3" fillId="0" borderId="1" xfId="3" applyNumberFormat="1" applyFont="1" applyBorder="1"/>
    <xf numFmtId="164" fontId="3" fillId="0" borderId="1" xfId="1" applyNumberFormat="1" applyFont="1" applyBorder="1"/>
    <xf numFmtId="165" fontId="2" fillId="0" borderId="0" xfId="1" applyNumberFormat="1"/>
    <xf numFmtId="0" fontId="2" fillId="0" borderId="0" xfId="1"/>
    <xf numFmtId="14" fontId="2" fillId="0" borderId="0" xfId="1" applyNumberFormat="1"/>
    <xf numFmtId="0" fontId="2" fillId="3" borderId="0" xfId="1" applyFill="1"/>
    <xf numFmtId="43" fontId="0" fillId="3" borderId="0" xfId="2" applyFont="1" applyFill="1" applyBorder="1"/>
    <xf numFmtId="2" fontId="0" fillId="3" borderId="0" xfId="2" applyNumberFormat="1" applyFont="1" applyFill="1" applyBorder="1"/>
    <xf numFmtId="0" fontId="2" fillId="0" borderId="23" xfId="1" applyBorder="1"/>
    <xf numFmtId="0" fontId="2" fillId="0" borderId="24" xfId="1" applyBorder="1"/>
    <xf numFmtId="165" fontId="4" fillId="3" borderId="0" xfId="1" applyNumberFormat="1" applyFont="1" applyFill="1"/>
    <xf numFmtId="14" fontId="4" fillId="13" borderId="0" xfId="1" applyNumberFormat="1" applyFont="1" applyFill="1"/>
    <xf numFmtId="0" fontId="3" fillId="0" borderId="2" xfId="1" applyFont="1" applyBorder="1"/>
    <xf numFmtId="0" fontId="2" fillId="0" borderId="2" xfId="1" applyBorder="1"/>
    <xf numFmtId="0" fontId="2" fillId="0" borderId="1" xfId="1" applyBorder="1"/>
    <xf numFmtId="9" fontId="4" fillId="3" borderId="0" xfId="3" applyFont="1" applyFill="1"/>
    <xf numFmtId="0" fontId="4" fillId="13" borderId="0" xfId="1" applyFont="1" applyFill="1"/>
    <xf numFmtId="0" fontId="3" fillId="0" borderId="0" xfId="1" applyFont="1" applyAlignment="1">
      <alignment wrapText="1"/>
    </xf>
    <xf numFmtId="0" fontId="3" fillId="0" borderId="0" xfId="1" applyFont="1"/>
    <xf numFmtId="14" fontId="3" fillId="0" borderId="0" xfId="1" applyNumberFormat="1" applyFont="1"/>
    <xf numFmtId="164" fontId="3" fillId="0" borderId="0" xfId="2" applyNumberFormat="1" applyFont="1" applyFill="1" applyBorder="1"/>
    <xf numFmtId="10" fontId="3" fillId="0" borderId="0" xfId="3" applyNumberFormat="1" applyFont="1" applyFill="1" applyBorder="1"/>
    <xf numFmtId="164" fontId="3" fillId="0" borderId="0" xfId="1" applyNumberFormat="1" applyFont="1"/>
    <xf numFmtId="0" fontId="30" fillId="4" borderId="1" xfId="1" applyFont="1" applyFill="1" applyBorder="1" applyAlignment="1">
      <alignment wrapText="1"/>
    </xf>
    <xf numFmtId="0" fontId="30" fillId="5" borderId="2" xfId="1" applyFont="1" applyFill="1" applyBorder="1" applyAlignment="1">
      <alignment wrapText="1"/>
    </xf>
    <xf numFmtId="164" fontId="27" fillId="0" borderId="0" xfId="2" applyNumberFormat="1" applyFont="1" applyFill="1" applyBorder="1"/>
    <xf numFmtId="0" fontId="27" fillId="0" borderId="3" xfId="1" applyFont="1" applyBorder="1"/>
    <xf numFmtId="0" fontId="27" fillId="0" borderId="0" xfId="1" applyFont="1"/>
    <xf numFmtId="0" fontId="3" fillId="4" borderId="1" xfId="1" applyFont="1" applyFill="1" applyBorder="1" applyAlignment="1">
      <alignment wrapText="1"/>
    </xf>
    <xf numFmtId="0" fontId="42" fillId="0" borderId="0" xfId="0" applyFont="1" applyAlignment="1">
      <alignment vertical="center"/>
    </xf>
    <xf numFmtId="0" fontId="40" fillId="0" borderId="0" xfId="0" applyFont="1" applyAlignment="1">
      <alignment horizontal="center" vertical="center"/>
    </xf>
    <xf numFmtId="0" fontId="39" fillId="0" borderId="0" xfId="0" applyFont="1" applyAlignment="1">
      <alignment horizontal="center" vertical="center"/>
    </xf>
    <xf numFmtId="0" fontId="43" fillId="12" borderId="0" xfId="0" applyFont="1" applyFill="1" applyAlignment="1">
      <alignment horizontal="center" vertical="center"/>
    </xf>
    <xf numFmtId="0" fontId="28" fillId="0" borderId="0" xfId="0" applyFont="1" applyAlignment="1">
      <alignment horizontal="center" vertical="center"/>
    </xf>
    <xf numFmtId="0" fontId="41" fillId="0" borderId="0" xfId="0" applyFont="1" applyAlignment="1">
      <alignment horizontal="center" vertical="center"/>
    </xf>
    <xf numFmtId="49" fontId="7" fillId="0" borderId="7" xfId="4" applyNumberFormat="1" applyFont="1" applyBorder="1" applyAlignment="1">
      <alignment horizontal="center" vertical="center" wrapText="1"/>
    </xf>
    <xf numFmtId="49" fontId="7" fillId="0" borderId="7" xfId="4" applyNumberFormat="1" applyFont="1" applyBorder="1" applyAlignment="1">
      <alignment horizontal="center" vertical="center"/>
    </xf>
    <xf numFmtId="49" fontId="44" fillId="0" borderId="7" xfId="4" applyNumberFormat="1" applyFont="1" applyBorder="1" applyAlignment="1">
      <alignment horizontal="center" vertical="center"/>
    </xf>
    <xf numFmtId="49" fontId="7" fillId="0" borderId="4" xfId="4" applyNumberFormat="1" applyFont="1" applyBorder="1" applyAlignment="1">
      <alignment horizontal="center" vertical="center"/>
    </xf>
    <xf numFmtId="0" fontId="44" fillId="0" borderId="1" xfId="4" applyFont="1" applyBorder="1" applyAlignment="1">
      <alignment horizontal="center" vertical="center" wrapText="1"/>
    </xf>
    <xf numFmtId="0" fontId="6" fillId="0" borderId="1" xfId="4" applyFont="1" applyBorder="1" applyAlignment="1">
      <alignment horizontal="center" vertical="center" wrapText="1"/>
    </xf>
    <xf numFmtId="167" fontId="8" fillId="0" borderId="1" xfId="4" applyNumberFormat="1" applyFont="1" applyBorder="1" applyAlignment="1">
      <alignment horizontal="center" vertical="center" wrapText="1"/>
    </xf>
    <xf numFmtId="167" fontId="8" fillId="0" borderId="4" xfId="4" applyNumberFormat="1" applyFont="1" applyBorder="1" applyAlignment="1">
      <alignment horizontal="center" vertical="center" wrapText="1"/>
    </xf>
    <xf numFmtId="0" fontId="8" fillId="0" borderId="7" xfId="4" applyFont="1" applyBorder="1" applyAlignment="1">
      <alignment horizontal="center" vertical="center"/>
    </xf>
    <xf numFmtId="9" fontId="8" fillId="0" borderId="4" xfId="4" applyNumberFormat="1" applyFont="1" applyBorder="1" applyAlignment="1">
      <alignment horizontal="center" vertical="center"/>
    </xf>
    <xf numFmtId="49" fontId="10" fillId="0" borderId="0" xfId="4" applyNumberFormat="1" applyFont="1" applyAlignment="1">
      <alignment horizontal="center" vertical="center"/>
    </xf>
    <xf numFmtId="0" fontId="8" fillId="0" borderId="2" xfId="4" applyFont="1" applyBorder="1" applyAlignment="1">
      <alignment horizontal="center" vertical="center"/>
    </xf>
    <xf numFmtId="9" fontId="8" fillId="0" borderId="1" xfId="4" applyNumberFormat="1" applyFont="1" applyBorder="1" applyAlignment="1">
      <alignment horizontal="center" vertical="center"/>
    </xf>
    <xf numFmtId="0" fontId="45" fillId="0" borderId="0" xfId="4" applyFont="1" applyAlignment="1">
      <alignment horizontal="center" vertical="center"/>
    </xf>
    <xf numFmtId="9" fontId="8" fillId="0" borderId="0" xfId="4" applyNumberFormat="1" applyFont="1" applyAlignment="1">
      <alignment horizontal="center" vertical="center"/>
    </xf>
    <xf numFmtId="166" fontId="11" fillId="0" borderId="0" xfId="4" applyNumberFormat="1" applyFont="1" applyAlignment="1">
      <alignment horizontal="center" vertical="center" readingOrder="1"/>
    </xf>
    <xf numFmtId="0" fontId="8" fillId="0" borderId="20" xfId="4" applyFont="1" applyBorder="1" applyAlignment="1">
      <alignment horizontal="center" vertical="center"/>
    </xf>
    <xf numFmtId="0" fontId="8" fillId="0" borderId="27" xfId="4" applyFont="1" applyBorder="1" applyAlignment="1">
      <alignment horizontal="center" vertical="center"/>
    </xf>
    <xf numFmtId="0" fontId="8" fillId="0" borderId="28" xfId="4" applyFont="1" applyBorder="1" applyAlignment="1">
      <alignment horizontal="center" vertical="center"/>
    </xf>
    <xf numFmtId="0" fontId="8" fillId="0" borderId="21" xfId="4" applyFont="1" applyBorder="1" applyAlignment="1">
      <alignment horizontal="center" vertical="center"/>
    </xf>
    <xf numFmtId="0" fontId="8" fillId="0" borderId="9" xfId="4" applyFont="1" applyBorder="1" applyAlignment="1">
      <alignment horizontal="center" vertical="center"/>
    </xf>
    <xf numFmtId="0" fontId="8" fillId="0" borderId="22" xfId="4" applyFont="1" applyBorder="1" applyAlignment="1">
      <alignment horizontal="center" vertical="center"/>
    </xf>
    <xf numFmtId="0" fontId="27" fillId="0" borderId="27" xfId="4" applyFont="1" applyBorder="1" applyAlignment="1">
      <alignment horizontal="center" vertical="center"/>
    </xf>
    <xf numFmtId="0" fontId="27" fillId="0" borderId="0" xfId="4" applyFont="1" applyAlignment="1">
      <alignment horizontal="center" vertical="center"/>
    </xf>
    <xf numFmtId="0" fontId="27" fillId="0" borderId="28" xfId="4" applyFont="1" applyBorder="1" applyAlignment="1">
      <alignment horizontal="center" vertical="center"/>
    </xf>
    <xf numFmtId="0" fontId="27" fillId="0" borderId="21" xfId="4" applyFont="1" applyBorder="1" applyAlignment="1">
      <alignment horizontal="center" vertical="center"/>
    </xf>
    <xf numFmtId="0" fontId="27" fillId="0" borderId="9" xfId="4" applyFont="1" applyBorder="1" applyAlignment="1">
      <alignment horizontal="center" vertical="center"/>
    </xf>
    <xf numFmtId="0" fontId="27" fillId="0" borderId="22" xfId="4" applyFont="1" applyBorder="1" applyAlignment="1">
      <alignment horizontal="center" vertical="center"/>
    </xf>
    <xf numFmtId="49" fontId="44" fillId="0" borderId="1" xfId="4" applyNumberFormat="1" applyFont="1" applyBorder="1" applyAlignment="1">
      <alignment horizontal="center" vertical="center"/>
    </xf>
    <xf numFmtId="166" fontId="11" fillId="0" borderId="1" xfId="4" applyNumberFormat="1" applyFont="1" applyBorder="1" applyAlignment="1">
      <alignment horizontal="center" vertical="center" readingOrder="2"/>
    </xf>
    <xf numFmtId="0" fontId="46" fillId="0" borderId="19" xfId="4" applyFont="1" applyBorder="1" applyAlignment="1">
      <alignment horizontal="center" vertical="center"/>
    </xf>
    <xf numFmtId="0" fontId="8" fillId="0" borderId="19" xfId="4" applyFont="1" applyBorder="1" applyAlignment="1">
      <alignment horizontal="center" vertical="center"/>
    </xf>
    <xf numFmtId="0" fontId="8" fillId="0" borderId="30" xfId="4" applyFont="1" applyBorder="1" applyAlignment="1">
      <alignment horizontal="center" vertical="center"/>
    </xf>
    <xf numFmtId="0" fontId="8" fillId="0" borderId="31" xfId="4" applyFont="1" applyBorder="1" applyAlignment="1">
      <alignment horizontal="center" vertical="center"/>
    </xf>
    <xf numFmtId="0" fontId="10" fillId="0" borderId="29" xfId="4" applyFont="1" applyBorder="1" applyAlignment="1">
      <alignment horizontal="center" vertical="center"/>
    </xf>
    <xf numFmtId="0" fontId="47" fillId="0" borderId="1" xfId="4" applyFont="1" applyBorder="1" applyAlignment="1">
      <alignment horizontal="center" vertical="center" wrapText="1"/>
    </xf>
    <xf numFmtId="0" fontId="44" fillId="0" borderId="0" xfId="4" applyFont="1" applyAlignment="1">
      <alignment horizontal="center" vertical="center" wrapText="1"/>
    </xf>
    <xf numFmtId="49" fontId="44" fillId="0" borderId="0" xfId="4" applyNumberFormat="1" applyFont="1" applyAlignment="1">
      <alignment horizontal="center" vertical="center"/>
    </xf>
    <xf numFmtId="0" fontId="8" fillId="0" borderId="18" xfId="4" applyFont="1" applyBorder="1" applyAlignment="1">
      <alignment horizontal="center" vertical="center"/>
    </xf>
    <xf numFmtId="49" fontId="49" fillId="0" borderId="7" xfId="4" applyNumberFormat="1" applyFont="1" applyBorder="1" applyAlignment="1">
      <alignment horizontal="center" vertical="center" wrapText="1"/>
    </xf>
    <xf numFmtId="0" fontId="26" fillId="0" borderId="1" xfId="0" applyFont="1" applyBorder="1" applyAlignment="1">
      <alignment horizontal="center" vertical="center" wrapText="1"/>
    </xf>
    <xf numFmtId="0" fontId="26" fillId="4"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26" fillId="13" borderId="0" xfId="0" applyFont="1" applyFill="1" applyAlignment="1">
      <alignment horizontal="center" vertical="center" wrapText="1"/>
    </xf>
    <xf numFmtId="0" fontId="26" fillId="0" borderId="0" xfId="0" applyFont="1" applyAlignment="1">
      <alignment horizontal="center" vertical="center" wrapText="1"/>
    </xf>
    <xf numFmtId="43" fontId="26" fillId="0" borderId="0" xfId="2"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0" borderId="1" xfId="0" applyFont="1" applyBorder="1" applyAlignment="1">
      <alignment horizontal="center" vertical="center"/>
    </xf>
    <xf numFmtId="14" fontId="26" fillId="0" borderId="1" xfId="0" applyNumberFormat="1" applyFont="1" applyBorder="1" applyAlignment="1">
      <alignment horizontal="center" vertical="center"/>
    </xf>
    <xf numFmtId="164" fontId="26" fillId="0" borderId="1" xfId="2" applyNumberFormat="1" applyFont="1" applyFill="1" applyBorder="1" applyAlignment="1">
      <alignment horizontal="center" vertical="center"/>
    </xf>
    <xf numFmtId="10" fontId="26" fillId="0" borderId="1" xfId="3" applyNumberFormat="1" applyFont="1" applyBorder="1" applyAlignment="1">
      <alignment horizontal="center" vertical="center"/>
    </xf>
    <xf numFmtId="164" fontId="26" fillId="0" borderId="1" xfId="0" applyNumberFormat="1" applyFont="1" applyBorder="1" applyAlignment="1">
      <alignment horizontal="center" vertical="center"/>
    </xf>
    <xf numFmtId="165" fontId="26" fillId="0" borderId="0" xfId="0" applyNumberFormat="1" applyFont="1" applyAlignment="1">
      <alignment horizontal="center" vertical="center"/>
    </xf>
    <xf numFmtId="164" fontId="26" fillId="0" borderId="0" xfId="0" applyNumberFormat="1" applyFont="1" applyAlignment="1">
      <alignment horizontal="center" vertical="center"/>
    </xf>
    <xf numFmtId="0" fontId="26" fillId="0" borderId="0" xfId="0" applyFont="1" applyAlignment="1">
      <alignment horizontal="center" vertical="center"/>
    </xf>
    <xf numFmtId="14" fontId="26" fillId="0" borderId="0" xfId="0" applyNumberFormat="1" applyFont="1" applyAlignment="1">
      <alignment horizontal="center" vertical="center"/>
    </xf>
    <xf numFmtId="2" fontId="26" fillId="0" borderId="0" xfId="0" applyNumberFormat="1" applyFont="1" applyAlignment="1">
      <alignment horizontal="center" vertical="center"/>
    </xf>
    <xf numFmtId="43" fontId="26" fillId="0" borderId="0" xfId="2" applyFont="1" applyFill="1" applyBorder="1" applyAlignment="1">
      <alignment horizontal="center" vertical="center"/>
    </xf>
    <xf numFmtId="164" fontId="26" fillId="0" borderId="0" xfId="2" applyNumberFormat="1" applyFont="1" applyFill="1" applyBorder="1" applyAlignment="1">
      <alignment horizontal="center" vertical="center"/>
    </xf>
    <xf numFmtId="0" fontId="51" fillId="0" borderId="0" xfId="0" applyFont="1" applyAlignment="1">
      <alignment horizontal="center" vertical="center"/>
    </xf>
    <xf numFmtId="0" fontId="51" fillId="0" borderId="1" xfId="0" applyFont="1" applyBorder="1" applyAlignment="1">
      <alignment horizontal="center" vertical="center"/>
    </xf>
    <xf numFmtId="0" fontId="52" fillId="0" borderId="0" xfId="0" applyFont="1" applyAlignment="1">
      <alignment horizontal="center" vertical="center"/>
    </xf>
    <xf numFmtId="0" fontId="52" fillId="0" borderId="1" xfId="0" applyFont="1" applyBorder="1" applyAlignment="1">
      <alignment horizontal="center" vertical="center"/>
    </xf>
    <xf numFmtId="14" fontId="4" fillId="13" borderId="0" xfId="0" applyNumberFormat="1" applyFont="1" applyFill="1" applyAlignment="1">
      <alignment horizontal="center" vertical="center"/>
    </xf>
    <xf numFmtId="170" fontId="26" fillId="0" borderId="0" xfId="0" applyNumberFormat="1" applyFont="1" applyAlignment="1">
      <alignment horizontal="center" vertical="center"/>
    </xf>
    <xf numFmtId="9" fontId="26" fillId="0" borderId="0" xfId="3" applyFont="1" applyAlignment="1">
      <alignment horizontal="center" vertical="center"/>
    </xf>
    <xf numFmtId="165" fontId="4" fillId="13" borderId="0" xfId="0" applyNumberFormat="1" applyFont="1" applyFill="1" applyAlignment="1">
      <alignment horizontal="center" vertical="center"/>
    </xf>
    <xf numFmtId="10" fontId="26" fillId="0" borderId="0" xfId="3" applyNumberFormat="1" applyFont="1" applyAlignment="1">
      <alignment horizontal="center" vertical="center"/>
    </xf>
    <xf numFmtId="0" fontId="26" fillId="0" borderId="2" xfId="0" applyFont="1" applyBorder="1" applyAlignment="1">
      <alignment horizontal="center" vertical="center"/>
    </xf>
    <xf numFmtId="0" fontId="55" fillId="15" borderId="0" xfId="4" applyFont="1" applyFill="1" applyAlignment="1">
      <alignment horizontal="center" vertical="center" wrapText="1"/>
    </xf>
    <xf numFmtId="0" fontId="55" fillId="0" borderId="0" xfId="4" applyFont="1" applyAlignment="1">
      <alignment horizontal="center" vertical="center" wrapText="1"/>
    </xf>
    <xf numFmtId="0" fontId="61" fillId="11" borderId="3" xfId="4" applyFont="1" applyFill="1" applyBorder="1" applyAlignment="1">
      <alignment horizontal="center" vertical="center" wrapText="1"/>
    </xf>
    <xf numFmtId="0" fontId="55" fillId="15" borderId="18" xfId="4" applyFont="1" applyFill="1" applyBorder="1" applyAlignment="1">
      <alignment horizontal="center" vertical="center" wrapText="1"/>
    </xf>
    <xf numFmtId="0" fontId="55" fillId="15" borderId="19" xfId="4" applyFont="1" applyFill="1" applyBorder="1" applyAlignment="1">
      <alignment horizontal="center" vertical="center" wrapText="1"/>
    </xf>
    <xf numFmtId="0" fontId="59" fillId="4" borderId="19" xfId="4" applyFont="1" applyFill="1" applyBorder="1" applyAlignment="1">
      <alignment horizontal="center" vertical="center" wrapText="1"/>
    </xf>
    <xf numFmtId="0" fontId="61" fillId="4" borderId="19" xfId="4" applyFont="1" applyFill="1" applyBorder="1" applyAlignment="1">
      <alignment horizontal="center" vertical="center" wrapText="1"/>
    </xf>
    <xf numFmtId="0" fontId="55" fillId="16" borderId="20" xfId="4" applyFont="1" applyFill="1" applyBorder="1" applyAlignment="1">
      <alignment horizontal="center" vertical="center" wrapText="1"/>
    </xf>
    <xf numFmtId="0" fontId="0" fillId="0" borderId="0" xfId="0" applyAlignment="1">
      <alignment horizontal="right"/>
    </xf>
    <xf numFmtId="0" fontId="2" fillId="0" borderId="19" xfId="4" applyBorder="1" applyAlignment="1">
      <alignment horizontal="center" vertical="center" wrapText="1"/>
    </xf>
    <xf numFmtId="0" fontId="2" fillId="0" borderId="0" xfId="4" applyAlignment="1">
      <alignment horizontal="center" vertical="center" wrapText="1"/>
    </xf>
    <xf numFmtId="0" fontId="56" fillId="0" borderId="0" xfId="4" applyFont="1" applyAlignment="1">
      <alignment horizontal="center" vertical="center"/>
    </xf>
    <xf numFmtId="0" fontId="56" fillId="0" borderId="27" xfId="4" applyFont="1" applyBorder="1" applyAlignment="1">
      <alignment horizontal="center" vertical="center"/>
    </xf>
    <xf numFmtId="14" fontId="56" fillId="0" borderId="0" xfId="4" applyNumberFormat="1" applyFont="1" applyAlignment="1">
      <alignment horizontal="center" vertical="center"/>
    </xf>
    <xf numFmtId="0" fontId="2" fillId="0" borderId="0" xfId="4" applyAlignment="1">
      <alignment horizontal="center" vertical="center"/>
    </xf>
    <xf numFmtId="167" fontId="56" fillId="0" borderId="0" xfId="7" applyNumberFormat="1" applyFont="1" applyBorder="1" applyAlignment="1">
      <alignment horizontal="center" vertical="center"/>
    </xf>
    <xf numFmtId="171" fontId="2" fillId="0" borderId="0" xfId="4" applyNumberFormat="1" applyAlignment="1">
      <alignment horizontal="center" vertical="center"/>
    </xf>
    <xf numFmtId="170" fontId="34" fillId="0" borderId="0" xfId="4" applyNumberFormat="1" applyFont="1" applyAlignment="1">
      <alignment horizontal="center" vertical="center"/>
    </xf>
    <xf numFmtId="170" fontId="2" fillId="0" borderId="0" xfId="4" applyNumberFormat="1" applyAlignment="1">
      <alignment horizontal="center" vertical="center"/>
    </xf>
    <xf numFmtId="0" fontId="2" fillId="0" borderId="28" xfId="4" applyBorder="1" applyAlignment="1">
      <alignment horizontal="center" vertical="center"/>
    </xf>
    <xf numFmtId="170" fontId="2" fillId="0" borderId="18" xfId="4" applyNumberFormat="1" applyBorder="1" applyAlignment="1">
      <alignment horizontal="center" vertical="center"/>
    </xf>
    <xf numFmtId="0" fontId="2" fillId="0" borderId="20" xfId="4" applyBorder="1" applyAlignment="1">
      <alignment horizontal="center" vertical="center"/>
    </xf>
    <xf numFmtId="170" fontId="2" fillId="0" borderId="21" xfId="4" applyNumberFormat="1" applyBorder="1" applyAlignment="1">
      <alignment horizontal="center" vertical="center"/>
    </xf>
    <xf numFmtId="0" fontId="2" fillId="0" borderId="22" xfId="4" applyBorder="1" applyAlignment="1">
      <alignment horizontal="center" vertical="center"/>
    </xf>
    <xf numFmtId="0" fontId="57" fillId="0" borderId="0" xfId="4" applyFont="1" applyAlignment="1">
      <alignment horizontal="center" vertical="center"/>
    </xf>
    <xf numFmtId="0" fontId="58" fillId="0" borderId="0" xfId="4" applyFont="1" applyAlignment="1">
      <alignment horizontal="center" vertical="center"/>
    </xf>
    <xf numFmtId="9" fontId="54" fillId="0" borderId="0" xfId="8" applyFont="1" applyFill="1" applyBorder="1" applyAlignment="1">
      <alignment horizontal="center" vertical="center"/>
    </xf>
    <xf numFmtId="167" fontId="57" fillId="0" borderId="0" xfId="7" applyNumberFormat="1" applyFont="1" applyFill="1" applyBorder="1" applyAlignment="1">
      <alignment horizontal="center" vertical="center"/>
    </xf>
    <xf numFmtId="167" fontId="57" fillId="0" borderId="0" xfId="4" applyNumberFormat="1" applyFont="1" applyAlignment="1">
      <alignment horizontal="center" vertical="center"/>
    </xf>
    <xf numFmtId="0" fontId="56" fillId="0" borderId="21" xfId="4" applyFont="1" applyBorder="1" applyAlignment="1">
      <alignment horizontal="center" vertical="center"/>
    </xf>
    <xf numFmtId="14" fontId="56" fillId="0" borderId="9" xfId="4" applyNumberFormat="1" applyFont="1" applyBorder="1" applyAlignment="1">
      <alignment horizontal="center" vertical="center"/>
    </xf>
    <xf numFmtId="0" fontId="56" fillId="0" borderId="9" xfId="4" applyFont="1" applyBorder="1" applyAlignment="1">
      <alignment horizontal="center" vertical="center"/>
    </xf>
    <xf numFmtId="0" fontId="2" fillId="0" borderId="9" xfId="4" applyBorder="1" applyAlignment="1">
      <alignment horizontal="center" vertical="center"/>
    </xf>
    <xf numFmtId="167" fontId="56" fillId="0" borderId="9" xfId="7" applyNumberFormat="1" applyFont="1" applyBorder="1" applyAlignment="1">
      <alignment horizontal="center" vertical="center"/>
    </xf>
    <xf numFmtId="171" fontId="2" fillId="0" borderId="9" xfId="4" applyNumberFormat="1" applyBorder="1" applyAlignment="1">
      <alignment horizontal="center" vertical="center"/>
    </xf>
    <xf numFmtId="170" fontId="34" fillId="0" borderId="9" xfId="4" applyNumberFormat="1" applyFont="1" applyBorder="1" applyAlignment="1">
      <alignment horizontal="center" vertical="center"/>
    </xf>
    <xf numFmtId="170" fontId="2" fillId="0" borderId="9" xfId="4" applyNumberFormat="1" applyBorder="1" applyAlignment="1">
      <alignment horizontal="center" vertical="center"/>
    </xf>
    <xf numFmtId="1" fontId="2" fillId="0" borderId="0" xfId="4" applyNumberFormat="1" applyAlignment="1">
      <alignment horizontal="center" vertical="center"/>
    </xf>
    <xf numFmtId="0" fontId="57" fillId="4" borderId="1" xfId="4" applyFont="1" applyFill="1" applyBorder="1" applyAlignment="1">
      <alignment horizontal="center" vertical="center"/>
    </xf>
    <xf numFmtId="0" fontId="2" fillId="0" borderId="5" xfId="4" applyBorder="1" applyAlignment="1">
      <alignment horizontal="center" vertical="center"/>
    </xf>
    <xf numFmtId="0" fontId="2" fillId="0" borderId="2" xfId="4" applyBorder="1" applyAlignment="1">
      <alignment horizontal="center" vertical="center"/>
    </xf>
    <xf numFmtId="0" fontId="2" fillId="0" borderId="1" xfId="4" applyBorder="1" applyAlignment="1">
      <alignment horizontal="center" vertical="center"/>
    </xf>
    <xf numFmtId="9" fontId="2" fillId="0" borderId="2" xfId="4" applyNumberFormat="1" applyBorder="1" applyAlignment="1">
      <alignment horizontal="center" vertical="center"/>
    </xf>
    <xf numFmtId="0" fontId="2" fillId="10" borderId="0" xfId="4" applyFill="1" applyAlignment="1">
      <alignment horizontal="center" vertical="center"/>
    </xf>
    <xf numFmtId="0" fontId="2" fillId="0" borderId="4" xfId="4" applyBorder="1" applyAlignment="1">
      <alignment horizontal="center" vertical="center"/>
    </xf>
    <xf numFmtId="9" fontId="2" fillId="0" borderId="7" xfId="4" applyNumberFormat="1" applyBorder="1" applyAlignment="1">
      <alignment horizontal="center" vertical="center"/>
    </xf>
    <xf numFmtId="14" fontId="57" fillId="0" borderId="0" xfId="4" applyNumberFormat="1" applyFont="1" applyAlignment="1">
      <alignment horizontal="center" vertical="center"/>
    </xf>
    <xf numFmtId="9" fontId="2" fillId="0" borderId="0" xfId="8" applyFont="1"/>
    <xf numFmtId="0" fontId="65" fillId="0" borderId="0" xfId="0" applyFont="1" applyAlignment="1">
      <alignment horizontal="center" vertical="center" wrapText="1"/>
    </xf>
    <xf numFmtId="0" fontId="65" fillId="4" borderId="0" xfId="0" applyFont="1" applyFill="1" applyAlignment="1">
      <alignment horizontal="center" vertical="center" wrapText="1"/>
    </xf>
    <xf numFmtId="1" fontId="0" fillId="0" borderId="0" xfId="0" applyNumberFormat="1" applyAlignment="1">
      <alignment horizontal="right"/>
    </xf>
    <xf numFmtId="0" fontId="0" fillId="0" borderId="0" xfId="0" applyAlignment="1" applyProtection="1">
      <alignment horizontal="right"/>
      <protection locked="0"/>
    </xf>
    <xf numFmtId="172" fontId="0" fillId="0" borderId="0" xfId="0" applyNumberFormat="1" applyAlignment="1">
      <alignment horizontal="right"/>
    </xf>
    <xf numFmtId="167" fontId="0" fillId="0" borderId="0" xfId="9" applyNumberFormat="1" applyFont="1" applyAlignment="1">
      <alignment horizontal="right"/>
    </xf>
    <xf numFmtId="2" fontId="0" fillId="0" borderId="0" xfId="0" applyNumberFormat="1"/>
    <xf numFmtId="0" fontId="54" fillId="0" borderId="0" xfId="0" applyFont="1" applyAlignment="1">
      <alignment horizontal="right"/>
    </xf>
    <xf numFmtId="0" fontId="6" fillId="6" borderId="2" xfId="1" applyFont="1" applyFill="1" applyBorder="1" applyAlignment="1">
      <alignment horizontal="center" vertical="center" wrapText="1"/>
    </xf>
    <xf numFmtId="10" fontId="3" fillId="0" borderId="2" xfId="3" applyNumberFormat="1" applyFont="1" applyBorder="1" applyAlignment="1">
      <alignment horizontal="center" vertical="center"/>
    </xf>
    <xf numFmtId="0" fontId="6" fillId="16" borderId="32" xfId="1" applyFont="1" applyFill="1" applyBorder="1" applyAlignment="1">
      <alignment horizontal="center" vertical="center" wrapText="1"/>
    </xf>
    <xf numFmtId="164" fontId="3" fillId="16" borderId="33" xfId="1" applyNumberFormat="1" applyFont="1" applyFill="1" applyBorder="1" applyAlignment="1">
      <alignment horizontal="center" vertical="center"/>
    </xf>
    <xf numFmtId="164" fontId="3" fillId="16" borderId="34" xfId="1" applyNumberFormat="1" applyFont="1" applyFill="1" applyBorder="1" applyAlignment="1">
      <alignment horizontal="center" vertical="center"/>
    </xf>
    <xf numFmtId="164" fontId="3" fillId="16" borderId="35" xfId="1" applyNumberFormat="1" applyFont="1" applyFill="1" applyBorder="1" applyAlignment="1">
      <alignment horizontal="center" vertical="center"/>
    </xf>
    <xf numFmtId="164" fontId="3" fillId="16" borderId="36" xfId="1" applyNumberFormat="1" applyFont="1" applyFill="1" applyBorder="1" applyAlignment="1">
      <alignment horizontal="center" vertical="center"/>
    </xf>
    <xf numFmtId="0" fontId="6" fillId="4" borderId="1" xfId="1" applyFont="1" applyFill="1" applyBorder="1" applyAlignment="1">
      <alignment horizontal="center" vertical="center" wrapText="1"/>
    </xf>
    <xf numFmtId="0" fontId="3" fillId="4" borderId="1" xfId="1" applyFont="1" applyFill="1" applyBorder="1" applyAlignment="1">
      <alignment horizontal="center" vertical="center"/>
    </xf>
    <xf numFmtId="0" fontId="3" fillId="4" borderId="4"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5" xfId="1" applyFont="1" applyFill="1" applyBorder="1" applyAlignment="1">
      <alignment horizontal="center" vertical="center"/>
    </xf>
    <xf numFmtId="14" fontId="39" fillId="5" borderId="0" xfId="0" applyNumberFormat="1" applyFont="1" applyFill="1" applyAlignment="1">
      <alignment horizontal="center" vertical="center"/>
    </xf>
    <xf numFmtId="0" fontId="39" fillId="4" borderId="0" xfId="0" applyFont="1" applyFill="1" applyAlignment="1">
      <alignment horizontal="center" vertical="center"/>
    </xf>
    <xf numFmtId="164" fontId="3" fillId="4" borderId="1" xfId="7" applyNumberFormat="1" applyFont="1" applyFill="1" applyBorder="1" applyAlignment="1">
      <alignment horizontal="center" vertical="center"/>
    </xf>
    <xf numFmtId="0" fontId="25" fillId="7" borderId="0" xfId="1" applyFont="1" applyFill="1" applyAlignment="1">
      <alignment horizontal="center" vertical="center" wrapText="1"/>
    </xf>
    <xf numFmtId="0" fontId="6" fillId="4"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41" fillId="11" borderId="3" xfId="0" applyFont="1" applyFill="1" applyBorder="1" applyAlignment="1">
      <alignment horizontal="center" vertical="center" wrapText="1"/>
    </xf>
    <xf numFmtId="0" fontId="8" fillId="4" borderId="3" xfId="4" applyFont="1" applyFill="1" applyBorder="1" applyAlignment="1">
      <alignment horizontal="center" vertical="center"/>
    </xf>
    <xf numFmtId="9" fontId="2" fillId="0" borderId="0" xfId="8" applyFont="1" applyFill="1" applyBorder="1"/>
    <xf numFmtId="14" fontId="0" fillId="0" borderId="0" xfId="0" applyNumberFormat="1"/>
    <xf numFmtId="0" fontId="66" fillId="0" borderId="0" xfId="0" applyFont="1"/>
    <xf numFmtId="0" fontId="67" fillId="0" borderId="0" xfId="0"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right"/>
    </xf>
    <xf numFmtId="0" fontId="35" fillId="0" borderId="0" xfId="0" applyFont="1"/>
    <xf numFmtId="0" fontId="57" fillId="0" borderId="0" xfId="0" applyFont="1" applyAlignment="1">
      <alignment horizontal="center" vertical="center" wrapText="1"/>
    </xf>
    <xf numFmtId="0" fontId="69" fillId="0" borderId="0" xfId="0" applyFont="1"/>
    <xf numFmtId="0" fontId="70" fillId="0" borderId="0" xfId="0" applyFont="1" applyAlignment="1">
      <alignment horizontal="center" vertical="center" readingOrder="2"/>
    </xf>
    <xf numFmtId="0" fontId="69" fillId="0" borderId="0" xfId="0" applyFont="1" applyAlignment="1">
      <alignment horizontal="center"/>
    </xf>
    <xf numFmtId="0" fontId="69" fillId="0" borderId="0" xfId="0" applyFont="1" applyAlignment="1">
      <alignment horizontal="right"/>
    </xf>
    <xf numFmtId="0" fontId="0" fillId="0" borderId="0" xfId="0" applyAlignment="1">
      <alignment horizontal="center"/>
    </xf>
    <xf numFmtId="0" fontId="35" fillId="0" borderId="0" xfId="0" applyFont="1" applyAlignment="1">
      <alignment horizontal="center"/>
    </xf>
    <xf numFmtId="0" fontId="66" fillId="0" borderId="0" xfId="0" applyFont="1" applyAlignment="1">
      <alignment horizontal="left"/>
    </xf>
    <xf numFmtId="0" fontId="71" fillId="0" borderId="0" xfId="0" applyFont="1" applyAlignment="1">
      <alignment horizontal="center"/>
    </xf>
    <xf numFmtId="0" fontId="66" fillId="0" borderId="0" xfId="0" applyFont="1" applyAlignment="1">
      <alignment horizontal="center" vertical="center"/>
    </xf>
    <xf numFmtId="0" fontId="53" fillId="0" borderId="0" xfId="0" applyFont="1" applyAlignment="1">
      <alignment horizontal="center" vertical="center"/>
    </xf>
    <xf numFmtId="165" fontId="0" fillId="17" borderId="0" xfId="7" applyNumberFormat="1" applyFont="1" applyFill="1"/>
    <xf numFmtId="165" fontId="0" fillId="0" borderId="0" xfId="0" applyNumberFormat="1"/>
    <xf numFmtId="165" fontId="0" fillId="17" borderId="0" xfId="0" applyNumberFormat="1" applyFill="1"/>
    <xf numFmtId="9" fontId="0" fillId="0" borderId="0" xfId="0" applyNumberFormat="1"/>
    <xf numFmtId="9" fontId="0" fillId="17" borderId="0" xfId="0" applyNumberFormat="1" applyFill="1"/>
    <xf numFmtId="0" fontId="0" fillId="17" borderId="0" xfId="0" applyFill="1"/>
    <xf numFmtId="0" fontId="72" fillId="18" borderId="37" xfId="0" applyFont="1" applyFill="1" applyBorder="1" applyAlignment="1">
      <alignment horizontal="center" vertical="center"/>
    </xf>
    <xf numFmtId="0" fontId="0" fillId="0" borderId="18" xfId="0" applyBorder="1"/>
    <xf numFmtId="0" fontId="0" fillId="0" borderId="20" xfId="0" applyBorder="1"/>
    <xf numFmtId="0" fontId="0" fillId="19" borderId="37" xfId="0" applyFill="1" applyBorder="1"/>
    <xf numFmtId="0" fontId="0" fillId="0" borderId="21" xfId="0" applyBorder="1"/>
    <xf numFmtId="0" fontId="0" fillId="0" borderId="22" xfId="0" applyBorder="1"/>
    <xf numFmtId="0" fontId="73" fillId="0" borderId="0" xfId="0" applyFont="1" applyAlignment="1">
      <alignment vertical="center"/>
    </xf>
    <xf numFmtId="0" fontId="55" fillId="0" borderId="7" xfId="11" applyFont="1" applyBorder="1"/>
    <xf numFmtId="1" fontId="55" fillId="0" borderId="25" xfId="11" applyNumberFormat="1" applyFont="1" applyBorder="1"/>
    <xf numFmtId="0" fontId="55" fillId="0" borderId="38" xfId="11" applyFont="1" applyBorder="1"/>
    <xf numFmtId="174" fontId="56" fillId="0" borderId="8" xfId="10" applyNumberFormat="1" applyFont="1" applyBorder="1"/>
    <xf numFmtId="9" fontId="56" fillId="0" borderId="0" xfId="11" applyNumberFormat="1"/>
    <xf numFmtId="174" fontId="56" fillId="0" borderId="26" xfId="10" applyNumberFormat="1" applyFont="1" applyBorder="1"/>
    <xf numFmtId="174" fontId="56" fillId="0" borderId="39" xfId="10" applyNumberFormat="1" applyFont="1" applyBorder="1"/>
    <xf numFmtId="9" fontId="56" fillId="0" borderId="40" xfId="11" applyNumberFormat="1" applyBorder="1"/>
    <xf numFmtId="174" fontId="56" fillId="0" borderId="41" xfId="10" applyNumberFormat="1" applyFont="1" applyBorder="1"/>
    <xf numFmtId="0" fontId="4" fillId="0" borderId="0" xfId="0" applyFont="1"/>
    <xf numFmtId="0" fontId="0" fillId="19" borderId="42" xfId="0" applyFill="1" applyBorder="1"/>
    <xf numFmtId="0" fontId="72" fillId="18" borderId="43" xfId="0" applyFont="1" applyFill="1" applyBorder="1" applyAlignment="1">
      <alignment horizontal="center" vertical="center"/>
    </xf>
    <xf numFmtId="0" fontId="72" fillId="18" borderId="44" xfId="0" applyFont="1" applyFill="1" applyBorder="1" applyAlignment="1">
      <alignment horizontal="center" vertical="center"/>
    </xf>
    <xf numFmtId="0" fontId="72" fillId="18" borderId="44" xfId="0" applyFont="1" applyFill="1" applyBorder="1" applyAlignment="1">
      <alignment horizontal="center" vertical="center" wrapText="1"/>
    </xf>
    <xf numFmtId="0" fontId="72" fillId="18" borderId="45" xfId="0" applyFont="1" applyFill="1" applyBorder="1" applyAlignment="1">
      <alignment horizontal="center" vertical="center"/>
    </xf>
    <xf numFmtId="0" fontId="0" fillId="19" borderId="43" xfId="0" applyFill="1" applyBorder="1"/>
    <xf numFmtId="0" fontId="0" fillId="19" borderId="44" xfId="0" applyFill="1" applyBorder="1"/>
    <xf numFmtId="14" fontId="0" fillId="19" borderId="44" xfId="0" applyNumberFormat="1" applyFill="1" applyBorder="1"/>
    <xf numFmtId="173" fontId="0" fillId="19" borderId="44" xfId="0" applyNumberFormat="1" applyFill="1" applyBorder="1"/>
    <xf numFmtId="170" fontId="0" fillId="19" borderId="44" xfId="0" applyNumberFormat="1" applyFill="1" applyBorder="1"/>
    <xf numFmtId="173" fontId="0" fillId="19" borderId="45" xfId="0" applyNumberFormat="1" applyFill="1" applyBorder="1"/>
    <xf numFmtId="0" fontId="0" fillId="0" borderId="43" xfId="0" applyBorder="1"/>
    <xf numFmtId="0" fontId="0" fillId="0" borderId="44" xfId="0" applyBorder="1"/>
    <xf numFmtId="14" fontId="0" fillId="0" borderId="44" xfId="0" applyNumberFormat="1" applyBorder="1"/>
    <xf numFmtId="173" fontId="0" fillId="0" borderId="44" xfId="0" applyNumberFormat="1" applyBorder="1"/>
    <xf numFmtId="170" fontId="0" fillId="0" borderId="44" xfId="0" applyNumberFormat="1" applyBorder="1"/>
    <xf numFmtId="14" fontId="0" fillId="19" borderId="37" xfId="0" applyNumberFormat="1" applyFill="1" applyBorder="1"/>
    <xf numFmtId="173" fontId="0" fillId="19" borderId="37" xfId="0" applyNumberFormat="1" applyFill="1" applyBorder="1"/>
    <xf numFmtId="170" fontId="0" fillId="19" borderId="37" xfId="0" applyNumberFormat="1" applyFill="1" applyBorder="1"/>
    <xf numFmtId="175" fontId="56" fillId="0" borderId="0" xfId="11" applyNumberFormat="1"/>
    <xf numFmtId="0" fontId="56" fillId="0" borderId="0" xfId="11"/>
    <xf numFmtId="169" fontId="56" fillId="0" borderId="0" xfId="11" applyNumberFormat="1"/>
    <xf numFmtId="0" fontId="56" fillId="0" borderId="0" xfId="12" applyFont="1"/>
    <xf numFmtId="14" fontId="56" fillId="0" borderId="0" xfId="12" applyNumberFormat="1" applyFont="1"/>
    <xf numFmtId="176" fontId="56" fillId="0" borderId="0" xfId="11" applyNumberFormat="1"/>
    <xf numFmtId="1" fontId="56" fillId="0" borderId="0" xfId="11" applyNumberFormat="1"/>
    <xf numFmtId="9" fontId="56" fillId="0" borderId="0" xfId="3" applyFont="1"/>
    <xf numFmtId="0" fontId="0" fillId="0" borderId="0" xfId="12" applyFont="1"/>
    <xf numFmtId="169" fontId="56" fillId="0" borderId="0" xfId="11" applyNumberFormat="1" applyAlignment="1">
      <alignment horizontal="center" vertical="center"/>
    </xf>
    <xf numFmtId="14" fontId="56" fillId="0" borderId="0" xfId="11" applyNumberFormat="1"/>
    <xf numFmtId="0" fontId="74" fillId="0" borderId="0" xfId="11" applyFont="1"/>
    <xf numFmtId="0" fontId="74" fillId="0" borderId="0" xfId="12" applyFont="1"/>
    <xf numFmtId="0" fontId="56" fillId="0" borderId="0" xfId="11" applyAlignment="1">
      <alignment horizontal="center" vertical="center"/>
    </xf>
    <xf numFmtId="0" fontId="56" fillId="20" borderId="0" xfId="11" applyFill="1"/>
    <xf numFmtId="0" fontId="75" fillId="20" borderId="0" xfId="11" applyFont="1" applyFill="1"/>
    <xf numFmtId="0" fontId="75" fillId="20" borderId="0" xfId="11" applyFont="1" applyFill="1" applyAlignment="1">
      <alignment horizontal="center" vertical="center"/>
    </xf>
    <xf numFmtId="0" fontId="0" fillId="7" borderId="0" xfId="0" applyFill="1" applyAlignment="1">
      <alignment horizontal="center" vertical="center"/>
    </xf>
    <xf numFmtId="0" fontId="55" fillId="3" borderId="1" xfId="13" applyFont="1" applyFill="1" applyBorder="1" applyAlignment="1">
      <alignment horizontal="center" vertical="center" wrapText="1"/>
    </xf>
    <xf numFmtId="165" fontId="0" fillId="0" borderId="0" xfId="7" applyNumberFormat="1" applyFont="1" applyFill="1"/>
    <xf numFmtId="0" fontId="72" fillId="0" borderId="37" xfId="0" applyFont="1" applyBorder="1" applyAlignment="1">
      <alignment horizontal="center" vertical="center"/>
    </xf>
    <xf numFmtId="0" fontId="0" fillId="0" borderId="37" xfId="0" applyBorder="1"/>
    <xf numFmtId="165" fontId="56" fillId="22" borderId="1" xfId="13" applyNumberFormat="1" applyFill="1" applyBorder="1"/>
    <xf numFmtId="173" fontId="0" fillId="14" borderId="1" xfId="0" applyNumberFormat="1" applyFill="1" applyBorder="1"/>
    <xf numFmtId="173" fontId="0" fillId="23" borderId="1" xfId="0" applyNumberFormat="1" applyFill="1" applyBorder="1"/>
    <xf numFmtId="0" fontId="56" fillId="5" borderId="1" xfId="13" applyFill="1" applyBorder="1"/>
    <xf numFmtId="9" fontId="56" fillId="0" borderId="0" xfId="12" applyNumberFormat="1" applyFont="1"/>
    <xf numFmtId="0" fontId="76" fillId="0" borderId="0" xfId="12" applyFont="1" applyAlignment="1">
      <alignment horizontal="center" vertical="center" wrapText="1"/>
    </xf>
    <xf numFmtId="0" fontId="76" fillId="0" borderId="0" xfId="11" applyFont="1" applyAlignment="1">
      <alignment horizontal="center" vertical="center" wrapText="1"/>
    </xf>
    <xf numFmtId="175" fontId="77" fillId="0" borderId="0" xfId="11" applyNumberFormat="1" applyFont="1"/>
    <xf numFmtId="0" fontId="77" fillId="0" borderId="0" xfId="11" applyFont="1"/>
    <xf numFmtId="169" fontId="77" fillId="0" borderId="0" xfId="11" applyNumberFormat="1" applyFont="1"/>
    <xf numFmtId="164" fontId="3" fillId="4" borderId="3" xfId="1" applyNumberFormat="1" applyFont="1" applyFill="1" applyBorder="1" applyAlignment="1">
      <alignment horizontal="center" vertical="center"/>
    </xf>
    <xf numFmtId="164" fontId="2" fillId="4" borderId="3" xfId="1" applyNumberFormat="1" applyFill="1" applyBorder="1" applyAlignment="1">
      <alignment horizontal="center" vertical="center"/>
    </xf>
    <xf numFmtId="0" fontId="21" fillId="7" borderId="0" xfId="4" applyFont="1" applyFill="1" applyAlignment="1">
      <alignment horizontal="center" vertical="center" wrapText="1"/>
    </xf>
    <xf numFmtId="2" fontId="21" fillId="21" borderId="0" xfId="4" applyNumberFormat="1" applyFont="1" applyFill="1" applyAlignment="1">
      <alignment horizontal="center" vertical="center" wrapText="1"/>
    </xf>
    <xf numFmtId="0" fontId="9" fillId="21" borderId="0" xfId="4" applyFont="1" applyFill="1" applyAlignment="1">
      <alignment horizontal="center" vertical="center" wrapText="1"/>
    </xf>
    <xf numFmtId="0" fontId="3" fillId="5" borderId="1" xfId="1" applyFont="1" applyFill="1" applyBorder="1" applyAlignment="1">
      <alignment horizontal="center" vertical="center"/>
    </xf>
    <xf numFmtId="0" fontId="26" fillId="7" borderId="1" xfId="0" applyFont="1" applyFill="1" applyBorder="1"/>
    <xf numFmtId="0" fontId="26" fillId="7" borderId="1" xfId="0" applyFont="1" applyFill="1" applyBorder="1" applyAlignment="1">
      <alignment wrapText="1"/>
    </xf>
    <xf numFmtId="9" fontId="2" fillId="0" borderId="0" xfId="8" applyFont="1" applyAlignment="1">
      <alignment horizontal="center" vertical="center"/>
    </xf>
    <xf numFmtId="170" fontId="25" fillId="0" borderId="0" xfId="1" applyNumberFormat="1" applyFont="1" applyAlignment="1">
      <alignment horizontal="center" vertical="center" wrapText="1"/>
    </xf>
    <xf numFmtId="170" fontId="36" fillId="0" borderId="0" xfId="0" applyNumberFormat="1" applyFont="1" applyAlignment="1">
      <alignment horizontal="center"/>
    </xf>
    <xf numFmtId="170" fontId="3" fillId="0" borderId="0" xfId="0" applyNumberFormat="1" applyFont="1"/>
    <xf numFmtId="170" fontId="36" fillId="4" borderId="1" xfId="0" applyNumberFormat="1" applyFont="1" applyFill="1" applyBorder="1" applyAlignment="1">
      <alignment readingOrder="2"/>
    </xf>
    <xf numFmtId="170" fontId="0" fillId="7" borderId="1" xfId="0" applyNumberFormat="1" applyFill="1" applyBorder="1" applyAlignment="1">
      <alignment wrapText="1"/>
    </xf>
    <xf numFmtId="170" fontId="0" fillId="7" borderId="1" xfId="0" applyNumberFormat="1" applyFill="1" applyBorder="1"/>
    <xf numFmtId="0" fontId="72" fillId="18" borderId="0" xfId="0" applyFont="1" applyFill="1" applyAlignment="1">
      <alignment horizontal="center" vertical="center"/>
    </xf>
    <xf numFmtId="165" fontId="72" fillId="18" borderId="0" xfId="0" applyNumberFormat="1" applyFont="1" applyFill="1" applyAlignment="1">
      <alignment horizontal="center" vertical="center"/>
    </xf>
    <xf numFmtId="0" fontId="0" fillId="4" borderId="0" xfId="0" applyFill="1"/>
    <xf numFmtId="173" fontId="0" fillId="24" borderId="0" xfId="0" applyNumberFormat="1" applyFill="1"/>
    <xf numFmtId="0" fontId="0" fillId="7" borderId="0" xfId="0" applyFill="1"/>
    <xf numFmtId="0" fontId="0" fillId="4" borderId="0" xfId="0" applyFill="1" applyAlignment="1">
      <alignment horizontal="center" vertical="center"/>
    </xf>
    <xf numFmtId="0" fontId="0" fillId="10" borderId="0" xfId="0" applyFill="1" applyAlignment="1">
      <alignment horizontal="center" vertical="center"/>
    </xf>
    <xf numFmtId="0" fontId="6" fillId="12" borderId="1" xfId="0" applyFont="1" applyFill="1" applyBorder="1" applyAlignment="1">
      <alignment horizontal="center" vertical="center" wrapText="1"/>
    </xf>
    <xf numFmtId="14" fontId="3" fillId="12" borderId="1" xfId="0" applyNumberFormat="1" applyFont="1" applyFill="1" applyBorder="1" applyAlignment="1">
      <alignment horizontal="center" vertical="center"/>
    </xf>
    <xf numFmtId="14" fontId="0" fillId="11" borderId="0" xfId="0" applyNumberFormat="1" applyFill="1" applyAlignment="1">
      <alignment horizontal="center" vertical="center"/>
    </xf>
    <xf numFmtId="175" fontId="56" fillId="6" borderId="0" xfId="11" applyNumberFormat="1" applyFill="1"/>
    <xf numFmtId="9" fontId="56" fillId="6" borderId="0" xfId="11" applyNumberFormat="1" applyFill="1"/>
    <xf numFmtId="169" fontId="56" fillId="6" borderId="0" xfId="11" applyNumberFormat="1" applyFill="1"/>
    <xf numFmtId="9" fontId="56" fillId="0" borderId="0" xfId="8" applyFont="1"/>
    <xf numFmtId="165" fontId="56" fillId="0" borderId="0" xfId="11" applyNumberFormat="1"/>
    <xf numFmtId="0" fontId="21" fillId="25" borderId="6" xfId="4" applyFont="1" applyFill="1" applyBorder="1" applyAlignment="1">
      <alignment horizontal="center" vertical="center" wrapText="1"/>
    </xf>
    <xf numFmtId="0" fontId="72" fillId="0" borderId="44" xfId="0" applyFont="1" applyBorder="1" applyAlignment="1">
      <alignment horizontal="center" vertical="center"/>
    </xf>
    <xf numFmtId="170" fontId="0" fillId="0" borderId="37" xfId="0" applyNumberFormat="1" applyBorder="1"/>
    <xf numFmtId="170" fontId="0" fillId="4" borderId="0" xfId="0" applyNumberFormat="1" applyFill="1"/>
    <xf numFmtId="0" fontId="10" fillId="0" borderId="0" xfId="4" applyFont="1" applyAlignment="1">
      <alignment horizontal="center" vertical="center" wrapText="1"/>
    </xf>
    <xf numFmtId="0" fontId="22" fillId="0" borderId="0" xfId="0" applyFont="1" applyAlignment="1">
      <alignment horizontal="center" vertical="center"/>
    </xf>
    <xf numFmtId="0" fontId="9" fillId="0" borderId="0" xfId="4" applyFont="1" applyAlignment="1">
      <alignment horizontal="center" vertical="center"/>
    </xf>
    <xf numFmtId="0" fontId="31" fillId="2" borderId="9" xfId="1" applyFont="1" applyFill="1" applyBorder="1" applyAlignment="1">
      <alignment horizontal="center" vertical="center"/>
    </xf>
    <xf numFmtId="0" fontId="29" fillId="6" borderId="18" xfId="1" applyFont="1" applyFill="1" applyBorder="1" applyAlignment="1">
      <alignment horizontal="center" vertical="center"/>
    </xf>
    <xf numFmtId="0" fontId="29" fillId="6" borderId="19" xfId="1" applyFont="1" applyFill="1" applyBorder="1" applyAlignment="1">
      <alignment horizontal="center" vertical="center"/>
    </xf>
    <xf numFmtId="0" fontId="29" fillId="6" borderId="20" xfId="1" applyFont="1" applyFill="1" applyBorder="1" applyAlignment="1">
      <alignment horizontal="center" vertical="center"/>
    </xf>
    <xf numFmtId="0" fontId="29" fillId="6" borderId="21" xfId="1" applyFont="1" applyFill="1" applyBorder="1" applyAlignment="1">
      <alignment horizontal="center" vertical="center"/>
    </xf>
    <xf numFmtId="0" fontId="29" fillId="6" borderId="9" xfId="1" applyFont="1" applyFill="1" applyBorder="1" applyAlignment="1">
      <alignment horizontal="center" vertical="center"/>
    </xf>
    <xf numFmtId="0" fontId="29" fillId="6" borderId="22" xfId="1" applyFont="1" applyFill="1" applyBorder="1" applyAlignment="1">
      <alignment horizontal="center" vertical="center"/>
    </xf>
    <xf numFmtId="0" fontId="37" fillId="11" borderId="0" xfId="1" applyFont="1" applyFill="1" applyAlignment="1">
      <alignment horizontal="center" vertical="center"/>
    </xf>
    <xf numFmtId="0" fontId="0" fillId="12" borderId="0" xfId="0" applyFill="1" applyAlignment="1">
      <alignment horizontal="center"/>
    </xf>
    <xf numFmtId="0" fontId="0" fillId="4" borderId="0" xfId="0" applyFill="1" applyAlignment="1">
      <alignment horizontal="center" vertical="center" wrapText="1"/>
    </xf>
    <xf numFmtId="0" fontId="0" fillId="7" borderId="0" xfId="0" applyFill="1" applyAlignment="1">
      <alignment horizontal="center" vertical="center"/>
    </xf>
    <xf numFmtId="0" fontId="42" fillId="10" borderId="0" xfId="0" applyFont="1" applyFill="1" applyAlignment="1">
      <alignment horizontal="center" vertical="center"/>
    </xf>
    <xf numFmtId="0" fontId="10" fillId="0" borderId="0" xfId="4" applyFont="1" applyAlignment="1">
      <alignment horizontal="center" vertical="center"/>
    </xf>
    <xf numFmtId="0" fontId="8" fillId="0" borderId="26" xfId="4" applyFont="1" applyBorder="1" applyAlignment="1">
      <alignment horizontal="center" vertical="center"/>
    </xf>
    <xf numFmtId="0" fontId="2" fillId="10" borderId="0" xfId="4" applyFill="1" applyAlignment="1">
      <alignment horizontal="center" vertical="center"/>
    </xf>
    <xf numFmtId="0" fontId="64" fillId="16" borderId="0" xfId="1" applyFont="1" applyFill="1" applyAlignment="1">
      <alignment horizontal="center"/>
    </xf>
    <xf numFmtId="0" fontId="0" fillId="0" borderId="0" xfId="0" applyAlignment="1">
      <alignment horizontal="center"/>
    </xf>
  </cellXfs>
  <cellStyles count="14">
    <cellStyle name="Comma" xfId="7" builtinId="3"/>
    <cellStyle name="Comma 2" xfId="2" xr:uid="{B813DCEE-E6DA-45B2-B5E6-B7DCA5AFE380}"/>
    <cellStyle name="Comma 3" xfId="5" xr:uid="{DD32EB5F-788B-4F07-B527-E5FB5A04864E}"/>
    <cellStyle name="Comma 4" xfId="9" xr:uid="{B84DAA1A-4F4E-44BA-8769-D847A01B8AFB}"/>
    <cellStyle name="Currency" xfId="10" builtinId="4"/>
    <cellStyle name="Normal" xfId="0" builtinId="0"/>
    <cellStyle name="Normal 2" xfId="1" xr:uid="{7253B567-BFEB-44FF-9A43-2C7475FF2E2E}"/>
    <cellStyle name="Normal 2 2" xfId="13" xr:uid="{A120DA1C-5FF6-4C00-A84C-455F32E46ACD}"/>
    <cellStyle name="Normal 3" xfId="4" xr:uid="{CFE73604-F73F-4920-93D8-1E28ACCBC138}"/>
    <cellStyle name="Normal_מיון ושכיחויות" xfId="11" xr:uid="{3A29F607-DB60-4B7A-A3EA-56037BF7C21D}"/>
    <cellStyle name="Normal_קובץ לשעור 6" xfId="12" xr:uid="{821C11E9-05DF-4759-ADD6-A7BA834DEF20}"/>
    <cellStyle name="Percent" xfId="8" builtinId="5"/>
    <cellStyle name="Percent 2" xfId="3" xr:uid="{CE439A76-BA1C-41E8-AA67-49A0C97B9D08}"/>
    <cellStyle name="Percent 3" xfId="6" xr:uid="{844C1C7C-8AE8-4B1D-A6FA-F06ED8A5ADB3}"/>
  </cellStyles>
  <dxfs count="1">
    <dxf>
      <font>
        <color theme="0"/>
      </font>
      <fill>
        <patternFill>
          <bgColor theme="1" tint="4.9989318521683403E-2"/>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17" Type="http://schemas.openxmlformats.org/officeDocument/2006/relationships/customXml" Target="../ink/ink113.xml"/><Relationship Id="rId671" Type="http://schemas.openxmlformats.org/officeDocument/2006/relationships/customXml" Target="../ink/ink667.xml"/><Relationship Id="rId769" Type="http://schemas.openxmlformats.org/officeDocument/2006/relationships/customXml" Target="../ink/ink765.xml"/><Relationship Id="rId21" Type="http://schemas.openxmlformats.org/officeDocument/2006/relationships/customXml" Target="../ink/ink17.xml"/><Relationship Id="rId324" Type="http://schemas.openxmlformats.org/officeDocument/2006/relationships/customXml" Target="../ink/ink320.xml"/><Relationship Id="rId531" Type="http://schemas.openxmlformats.org/officeDocument/2006/relationships/customXml" Target="../ink/ink527.xml"/><Relationship Id="rId629" Type="http://schemas.openxmlformats.org/officeDocument/2006/relationships/customXml" Target="../ink/ink625.xml"/><Relationship Id="rId170" Type="http://schemas.openxmlformats.org/officeDocument/2006/relationships/customXml" Target="../ink/ink166.xml"/><Relationship Id="rId836" Type="http://schemas.openxmlformats.org/officeDocument/2006/relationships/customXml" Target="../ink/ink832.xml"/><Relationship Id="rId268" Type="http://schemas.openxmlformats.org/officeDocument/2006/relationships/customXml" Target="../ink/ink264.xml"/><Relationship Id="rId475" Type="http://schemas.openxmlformats.org/officeDocument/2006/relationships/customXml" Target="../ink/ink471.xml"/><Relationship Id="rId682" Type="http://schemas.openxmlformats.org/officeDocument/2006/relationships/customXml" Target="../ink/ink678.xml"/><Relationship Id="rId32" Type="http://schemas.openxmlformats.org/officeDocument/2006/relationships/customXml" Target="../ink/ink28.xml"/><Relationship Id="rId128" Type="http://schemas.openxmlformats.org/officeDocument/2006/relationships/customXml" Target="../ink/ink124.xml"/><Relationship Id="rId335" Type="http://schemas.openxmlformats.org/officeDocument/2006/relationships/customXml" Target="../ink/ink331.xml"/><Relationship Id="rId542" Type="http://schemas.openxmlformats.org/officeDocument/2006/relationships/customXml" Target="../ink/ink538.xml"/><Relationship Id="rId181" Type="http://schemas.openxmlformats.org/officeDocument/2006/relationships/customXml" Target="../ink/ink177.xml"/><Relationship Id="rId402" Type="http://schemas.openxmlformats.org/officeDocument/2006/relationships/customXml" Target="../ink/ink398.xml"/><Relationship Id="rId847" Type="http://schemas.openxmlformats.org/officeDocument/2006/relationships/customXml" Target="../ink/ink843.xml"/><Relationship Id="rId279" Type="http://schemas.openxmlformats.org/officeDocument/2006/relationships/customXml" Target="../ink/ink275.xml"/><Relationship Id="rId486" Type="http://schemas.openxmlformats.org/officeDocument/2006/relationships/customXml" Target="../ink/ink482.xml"/><Relationship Id="rId693" Type="http://schemas.openxmlformats.org/officeDocument/2006/relationships/customXml" Target="../ink/ink689.xml"/><Relationship Id="rId707" Type="http://schemas.openxmlformats.org/officeDocument/2006/relationships/customXml" Target="../ink/ink703.xml"/><Relationship Id="rId43" Type="http://schemas.openxmlformats.org/officeDocument/2006/relationships/customXml" Target="../ink/ink39.xml"/><Relationship Id="rId139" Type="http://schemas.openxmlformats.org/officeDocument/2006/relationships/customXml" Target="../ink/ink135.xml"/><Relationship Id="rId346" Type="http://schemas.openxmlformats.org/officeDocument/2006/relationships/customXml" Target="../ink/ink342.xml"/><Relationship Id="rId553" Type="http://schemas.openxmlformats.org/officeDocument/2006/relationships/customXml" Target="../ink/ink549.xml"/><Relationship Id="rId760" Type="http://schemas.openxmlformats.org/officeDocument/2006/relationships/customXml" Target="../ink/ink756.xml"/><Relationship Id="rId192" Type="http://schemas.openxmlformats.org/officeDocument/2006/relationships/customXml" Target="../ink/ink188.xml"/><Relationship Id="rId206" Type="http://schemas.openxmlformats.org/officeDocument/2006/relationships/customXml" Target="../ink/ink202.xml"/><Relationship Id="rId413" Type="http://schemas.openxmlformats.org/officeDocument/2006/relationships/customXml" Target="../ink/ink409.xml"/><Relationship Id="rId497" Type="http://schemas.openxmlformats.org/officeDocument/2006/relationships/customXml" Target="../ink/ink493.xml"/><Relationship Id="rId620" Type="http://schemas.openxmlformats.org/officeDocument/2006/relationships/customXml" Target="../ink/ink616.xml"/><Relationship Id="rId718" Type="http://schemas.openxmlformats.org/officeDocument/2006/relationships/customXml" Target="../ink/ink714.xml"/><Relationship Id="rId357" Type="http://schemas.openxmlformats.org/officeDocument/2006/relationships/customXml" Target="../ink/ink353.xml"/><Relationship Id="rId54" Type="http://schemas.openxmlformats.org/officeDocument/2006/relationships/customXml" Target="../ink/ink50.xml"/><Relationship Id="rId217" Type="http://schemas.openxmlformats.org/officeDocument/2006/relationships/customXml" Target="../ink/ink213.xml"/><Relationship Id="rId564" Type="http://schemas.openxmlformats.org/officeDocument/2006/relationships/customXml" Target="../ink/ink560.xml"/><Relationship Id="rId771" Type="http://schemas.openxmlformats.org/officeDocument/2006/relationships/customXml" Target="../ink/ink767.xml"/><Relationship Id="rId424" Type="http://schemas.openxmlformats.org/officeDocument/2006/relationships/customXml" Target="../ink/ink420.xml"/><Relationship Id="rId631" Type="http://schemas.openxmlformats.org/officeDocument/2006/relationships/customXml" Target="../ink/ink627.xml"/><Relationship Id="rId729" Type="http://schemas.openxmlformats.org/officeDocument/2006/relationships/customXml" Target="../ink/ink725.xml"/><Relationship Id="rId270" Type="http://schemas.openxmlformats.org/officeDocument/2006/relationships/customXml" Target="../ink/ink266.xml"/><Relationship Id="rId65" Type="http://schemas.openxmlformats.org/officeDocument/2006/relationships/customXml" Target="../ink/ink61.xml"/><Relationship Id="rId130" Type="http://schemas.openxmlformats.org/officeDocument/2006/relationships/customXml" Target="../ink/ink126.xml"/><Relationship Id="rId368" Type="http://schemas.openxmlformats.org/officeDocument/2006/relationships/customXml" Target="../ink/ink364.xml"/><Relationship Id="rId575" Type="http://schemas.openxmlformats.org/officeDocument/2006/relationships/customXml" Target="../ink/ink571.xml"/><Relationship Id="rId782" Type="http://schemas.openxmlformats.org/officeDocument/2006/relationships/customXml" Target="../ink/ink778.xml"/><Relationship Id="rId228" Type="http://schemas.openxmlformats.org/officeDocument/2006/relationships/customXml" Target="../ink/ink224.xml"/><Relationship Id="rId435" Type="http://schemas.openxmlformats.org/officeDocument/2006/relationships/customXml" Target="../ink/ink431.xml"/><Relationship Id="rId642" Type="http://schemas.openxmlformats.org/officeDocument/2006/relationships/customXml" Target="../ink/ink638.xml"/><Relationship Id="rId281" Type="http://schemas.openxmlformats.org/officeDocument/2006/relationships/customXml" Target="../ink/ink277.xml"/><Relationship Id="rId502" Type="http://schemas.openxmlformats.org/officeDocument/2006/relationships/customXml" Target="../ink/ink498.xml"/><Relationship Id="rId76" Type="http://schemas.openxmlformats.org/officeDocument/2006/relationships/customXml" Target="../ink/ink72.xml"/><Relationship Id="rId141" Type="http://schemas.openxmlformats.org/officeDocument/2006/relationships/customXml" Target="../ink/ink137.xml"/><Relationship Id="rId379" Type="http://schemas.openxmlformats.org/officeDocument/2006/relationships/customXml" Target="../ink/ink375.xml"/><Relationship Id="rId586" Type="http://schemas.openxmlformats.org/officeDocument/2006/relationships/customXml" Target="../ink/ink582.xml"/><Relationship Id="rId793" Type="http://schemas.openxmlformats.org/officeDocument/2006/relationships/customXml" Target="../ink/ink789.xml"/><Relationship Id="rId807" Type="http://schemas.openxmlformats.org/officeDocument/2006/relationships/customXml" Target="../ink/ink803.xml"/><Relationship Id="rId7" Type="http://schemas.openxmlformats.org/officeDocument/2006/relationships/image" Target="../media/image2.png"/><Relationship Id="rId239" Type="http://schemas.openxmlformats.org/officeDocument/2006/relationships/customXml" Target="../ink/ink235.xml"/><Relationship Id="rId446" Type="http://schemas.openxmlformats.org/officeDocument/2006/relationships/customXml" Target="../ink/ink442.xml"/><Relationship Id="rId653" Type="http://schemas.openxmlformats.org/officeDocument/2006/relationships/customXml" Target="../ink/ink649.xml"/><Relationship Id="rId292" Type="http://schemas.openxmlformats.org/officeDocument/2006/relationships/customXml" Target="../ink/ink288.xml"/><Relationship Id="rId306" Type="http://schemas.openxmlformats.org/officeDocument/2006/relationships/customXml" Target="../ink/ink302.xml"/><Relationship Id="rId87" Type="http://schemas.openxmlformats.org/officeDocument/2006/relationships/customXml" Target="../ink/ink83.xml"/><Relationship Id="rId513" Type="http://schemas.openxmlformats.org/officeDocument/2006/relationships/customXml" Target="../ink/ink509.xml"/><Relationship Id="rId597" Type="http://schemas.openxmlformats.org/officeDocument/2006/relationships/customXml" Target="../ink/ink593.xml"/><Relationship Id="rId720" Type="http://schemas.openxmlformats.org/officeDocument/2006/relationships/customXml" Target="../ink/ink716.xml"/><Relationship Id="rId818" Type="http://schemas.openxmlformats.org/officeDocument/2006/relationships/customXml" Target="../ink/ink814.xml"/><Relationship Id="rId152" Type="http://schemas.openxmlformats.org/officeDocument/2006/relationships/customXml" Target="../ink/ink148.xml"/><Relationship Id="rId457" Type="http://schemas.openxmlformats.org/officeDocument/2006/relationships/customXml" Target="../ink/ink453.xml"/><Relationship Id="rId664" Type="http://schemas.openxmlformats.org/officeDocument/2006/relationships/customXml" Target="../ink/ink660.xml"/><Relationship Id="rId14" Type="http://schemas.openxmlformats.org/officeDocument/2006/relationships/customXml" Target="../ink/ink10.xml"/><Relationship Id="rId317" Type="http://schemas.openxmlformats.org/officeDocument/2006/relationships/customXml" Target="../ink/ink313.xml"/><Relationship Id="rId524" Type="http://schemas.openxmlformats.org/officeDocument/2006/relationships/customXml" Target="../ink/ink520.xml"/><Relationship Id="rId731" Type="http://schemas.openxmlformats.org/officeDocument/2006/relationships/customXml" Target="../ink/ink727.xml"/><Relationship Id="rId98" Type="http://schemas.openxmlformats.org/officeDocument/2006/relationships/customXml" Target="../ink/ink94.xml"/><Relationship Id="rId163" Type="http://schemas.openxmlformats.org/officeDocument/2006/relationships/customXml" Target="../ink/ink159.xml"/><Relationship Id="rId370" Type="http://schemas.openxmlformats.org/officeDocument/2006/relationships/customXml" Target="../ink/ink366.xml"/><Relationship Id="rId829" Type="http://schemas.openxmlformats.org/officeDocument/2006/relationships/customXml" Target="../ink/ink825.xml"/><Relationship Id="rId230" Type="http://schemas.openxmlformats.org/officeDocument/2006/relationships/customXml" Target="../ink/ink226.xml"/><Relationship Id="rId468" Type="http://schemas.openxmlformats.org/officeDocument/2006/relationships/customXml" Target="../ink/ink464.xml"/><Relationship Id="rId675" Type="http://schemas.openxmlformats.org/officeDocument/2006/relationships/customXml" Target="../ink/ink671.xml"/><Relationship Id="rId25" Type="http://schemas.openxmlformats.org/officeDocument/2006/relationships/customXml" Target="../ink/ink21.xml"/><Relationship Id="rId328" Type="http://schemas.openxmlformats.org/officeDocument/2006/relationships/customXml" Target="../ink/ink324.xml"/><Relationship Id="rId535" Type="http://schemas.openxmlformats.org/officeDocument/2006/relationships/customXml" Target="../ink/ink531.xml"/><Relationship Id="rId742" Type="http://schemas.openxmlformats.org/officeDocument/2006/relationships/customXml" Target="../ink/ink738.xml"/><Relationship Id="rId174" Type="http://schemas.openxmlformats.org/officeDocument/2006/relationships/customXml" Target="../ink/ink170.xml"/><Relationship Id="rId381" Type="http://schemas.openxmlformats.org/officeDocument/2006/relationships/customXml" Target="../ink/ink377.xml"/><Relationship Id="rId602" Type="http://schemas.openxmlformats.org/officeDocument/2006/relationships/customXml" Target="../ink/ink598.xml"/><Relationship Id="rId241" Type="http://schemas.openxmlformats.org/officeDocument/2006/relationships/customXml" Target="../ink/ink237.xml"/><Relationship Id="rId479" Type="http://schemas.openxmlformats.org/officeDocument/2006/relationships/customXml" Target="../ink/ink475.xml"/><Relationship Id="rId686" Type="http://schemas.openxmlformats.org/officeDocument/2006/relationships/customXml" Target="../ink/ink682.xml"/><Relationship Id="rId36" Type="http://schemas.openxmlformats.org/officeDocument/2006/relationships/customXml" Target="../ink/ink32.xml"/><Relationship Id="rId339" Type="http://schemas.openxmlformats.org/officeDocument/2006/relationships/customXml" Target="../ink/ink335.xml"/><Relationship Id="rId546" Type="http://schemas.openxmlformats.org/officeDocument/2006/relationships/customXml" Target="../ink/ink542.xml"/><Relationship Id="rId753" Type="http://schemas.openxmlformats.org/officeDocument/2006/relationships/customXml" Target="../ink/ink749.xml"/><Relationship Id="rId101" Type="http://schemas.openxmlformats.org/officeDocument/2006/relationships/customXml" Target="../ink/ink97.xml"/><Relationship Id="rId185" Type="http://schemas.openxmlformats.org/officeDocument/2006/relationships/customXml" Target="../ink/ink181.xml"/><Relationship Id="rId406" Type="http://schemas.openxmlformats.org/officeDocument/2006/relationships/customXml" Target="../ink/ink402.xml"/><Relationship Id="rId392" Type="http://schemas.openxmlformats.org/officeDocument/2006/relationships/customXml" Target="../ink/ink388.xml"/><Relationship Id="rId613" Type="http://schemas.openxmlformats.org/officeDocument/2006/relationships/customXml" Target="../ink/ink609.xml"/><Relationship Id="rId697" Type="http://schemas.openxmlformats.org/officeDocument/2006/relationships/customXml" Target="../ink/ink693.xml"/><Relationship Id="rId820" Type="http://schemas.openxmlformats.org/officeDocument/2006/relationships/customXml" Target="../ink/ink816.xml"/><Relationship Id="rId252" Type="http://schemas.openxmlformats.org/officeDocument/2006/relationships/customXml" Target="../ink/ink248.xml"/><Relationship Id="rId47" Type="http://schemas.openxmlformats.org/officeDocument/2006/relationships/customXml" Target="../ink/ink43.xml"/><Relationship Id="rId112" Type="http://schemas.openxmlformats.org/officeDocument/2006/relationships/customXml" Target="../ink/ink108.xml"/><Relationship Id="rId557" Type="http://schemas.openxmlformats.org/officeDocument/2006/relationships/customXml" Target="../ink/ink553.xml"/><Relationship Id="rId764" Type="http://schemas.openxmlformats.org/officeDocument/2006/relationships/customXml" Target="../ink/ink760.xml"/><Relationship Id="rId196" Type="http://schemas.openxmlformats.org/officeDocument/2006/relationships/customXml" Target="../ink/ink192.xml"/><Relationship Id="rId417" Type="http://schemas.openxmlformats.org/officeDocument/2006/relationships/customXml" Target="../ink/ink413.xml"/><Relationship Id="rId624" Type="http://schemas.openxmlformats.org/officeDocument/2006/relationships/customXml" Target="../ink/ink620.xml"/><Relationship Id="rId831" Type="http://schemas.openxmlformats.org/officeDocument/2006/relationships/customXml" Target="../ink/ink827.xml"/><Relationship Id="rId263" Type="http://schemas.openxmlformats.org/officeDocument/2006/relationships/customXml" Target="../ink/ink259.xml"/><Relationship Id="rId470" Type="http://schemas.openxmlformats.org/officeDocument/2006/relationships/customXml" Target="../ink/ink466.xml"/><Relationship Id="rId58" Type="http://schemas.openxmlformats.org/officeDocument/2006/relationships/customXml" Target="../ink/ink54.xml"/><Relationship Id="rId123" Type="http://schemas.openxmlformats.org/officeDocument/2006/relationships/customXml" Target="../ink/ink119.xml"/><Relationship Id="rId330" Type="http://schemas.openxmlformats.org/officeDocument/2006/relationships/customXml" Target="../ink/ink326.xml"/><Relationship Id="rId568" Type="http://schemas.openxmlformats.org/officeDocument/2006/relationships/customXml" Target="../ink/ink564.xml"/><Relationship Id="rId775" Type="http://schemas.openxmlformats.org/officeDocument/2006/relationships/customXml" Target="../ink/ink771.xml"/><Relationship Id="rId428" Type="http://schemas.openxmlformats.org/officeDocument/2006/relationships/customXml" Target="../ink/ink424.xml"/><Relationship Id="rId635" Type="http://schemas.openxmlformats.org/officeDocument/2006/relationships/customXml" Target="../ink/ink631.xml"/><Relationship Id="rId842" Type="http://schemas.openxmlformats.org/officeDocument/2006/relationships/customXml" Target="../ink/ink838.xml"/><Relationship Id="rId274" Type="http://schemas.openxmlformats.org/officeDocument/2006/relationships/customXml" Target="../ink/ink270.xml"/><Relationship Id="rId481" Type="http://schemas.openxmlformats.org/officeDocument/2006/relationships/customXml" Target="../ink/ink477.xml"/><Relationship Id="rId702" Type="http://schemas.openxmlformats.org/officeDocument/2006/relationships/customXml" Target="../ink/ink698.xml"/><Relationship Id="rId69" Type="http://schemas.openxmlformats.org/officeDocument/2006/relationships/customXml" Target="../ink/ink65.xml"/><Relationship Id="rId134" Type="http://schemas.openxmlformats.org/officeDocument/2006/relationships/customXml" Target="../ink/ink130.xml"/><Relationship Id="rId579" Type="http://schemas.openxmlformats.org/officeDocument/2006/relationships/customXml" Target="../ink/ink575.xml"/><Relationship Id="rId786" Type="http://schemas.openxmlformats.org/officeDocument/2006/relationships/customXml" Target="../ink/ink782.xml"/><Relationship Id="rId341" Type="http://schemas.openxmlformats.org/officeDocument/2006/relationships/customXml" Target="../ink/ink337.xml"/><Relationship Id="rId439" Type="http://schemas.openxmlformats.org/officeDocument/2006/relationships/customXml" Target="../ink/ink435.xml"/><Relationship Id="rId646" Type="http://schemas.openxmlformats.org/officeDocument/2006/relationships/customXml" Target="../ink/ink642.xml"/><Relationship Id="rId201" Type="http://schemas.openxmlformats.org/officeDocument/2006/relationships/customXml" Target="../ink/ink197.xml"/><Relationship Id="rId285" Type="http://schemas.openxmlformats.org/officeDocument/2006/relationships/customXml" Target="../ink/ink281.xml"/><Relationship Id="rId506" Type="http://schemas.openxmlformats.org/officeDocument/2006/relationships/customXml" Target="../ink/ink502.xml"/><Relationship Id="rId492" Type="http://schemas.openxmlformats.org/officeDocument/2006/relationships/customXml" Target="../ink/ink488.xml"/><Relationship Id="rId713" Type="http://schemas.openxmlformats.org/officeDocument/2006/relationships/customXml" Target="../ink/ink709.xml"/><Relationship Id="rId797" Type="http://schemas.openxmlformats.org/officeDocument/2006/relationships/customXml" Target="../ink/ink793.xml"/><Relationship Id="rId145" Type="http://schemas.openxmlformats.org/officeDocument/2006/relationships/customXml" Target="../ink/ink141.xml"/><Relationship Id="rId352" Type="http://schemas.openxmlformats.org/officeDocument/2006/relationships/customXml" Target="../ink/ink348.xml"/><Relationship Id="rId212" Type="http://schemas.openxmlformats.org/officeDocument/2006/relationships/customXml" Target="../ink/ink208.xml"/><Relationship Id="rId657" Type="http://schemas.openxmlformats.org/officeDocument/2006/relationships/customXml" Target="../ink/ink653.xml"/><Relationship Id="rId296" Type="http://schemas.openxmlformats.org/officeDocument/2006/relationships/customXml" Target="../ink/ink292.xml"/><Relationship Id="rId517" Type="http://schemas.openxmlformats.org/officeDocument/2006/relationships/customXml" Target="../ink/ink513.xml"/><Relationship Id="rId724" Type="http://schemas.openxmlformats.org/officeDocument/2006/relationships/customXml" Target="../ink/ink720.xml"/><Relationship Id="rId60" Type="http://schemas.openxmlformats.org/officeDocument/2006/relationships/customXml" Target="../ink/ink56.xml"/><Relationship Id="rId156" Type="http://schemas.openxmlformats.org/officeDocument/2006/relationships/customXml" Target="../ink/ink152.xml"/><Relationship Id="rId363" Type="http://schemas.openxmlformats.org/officeDocument/2006/relationships/customXml" Target="../ink/ink359.xml"/><Relationship Id="rId570" Type="http://schemas.openxmlformats.org/officeDocument/2006/relationships/customXml" Target="../ink/ink566.xml"/><Relationship Id="rId223" Type="http://schemas.openxmlformats.org/officeDocument/2006/relationships/customXml" Target="../ink/ink219.xml"/><Relationship Id="rId430" Type="http://schemas.openxmlformats.org/officeDocument/2006/relationships/customXml" Target="../ink/ink426.xml"/><Relationship Id="rId668" Type="http://schemas.openxmlformats.org/officeDocument/2006/relationships/customXml" Target="../ink/ink664.xml"/><Relationship Id="rId18" Type="http://schemas.openxmlformats.org/officeDocument/2006/relationships/customXml" Target="../ink/ink14.xml"/><Relationship Id="rId528" Type="http://schemas.openxmlformats.org/officeDocument/2006/relationships/customXml" Target="../ink/ink524.xml"/><Relationship Id="rId735" Type="http://schemas.openxmlformats.org/officeDocument/2006/relationships/customXml" Target="../ink/ink731.xml"/><Relationship Id="rId167" Type="http://schemas.openxmlformats.org/officeDocument/2006/relationships/customXml" Target="../ink/ink163.xml"/><Relationship Id="rId374" Type="http://schemas.openxmlformats.org/officeDocument/2006/relationships/customXml" Target="../ink/ink370.xml"/><Relationship Id="rId581" Type="http://schemas.openxmlformats.org/officeDocument/2006/relationships/customXml" Target="../ink/ink577.xml"/><Relationship Id="rId71" Type="http://schemas.openxmlformats.org/officeDocument/2006/relationships/customXml" Target="../ink/ink67.xml"/><Relationship Id="rId234" Type="http://schemas.openxmlformats.org/officeDocument/2006/relationships/customXml" Target="../ink/ink230.xml"/><Relationship Id="rId679" Type="http://schemas.openxmlformats.org/officeDocument/2006/relationships/customXml" Target="../ink/ink675.xml"/><Relationship Id="rId802" Type="http://schemas.openxmlformats.org/officeDocument/2006/relationships/customXml" Target="../ink/ink798.xml"/><Relationship Id="rId29" Type="http://schemas.openxmlformats.org/officeDocument/2006/relationships/customXml" Target="../ink/ink25.xml"/><Relationship Id="rId441" Type="http://schemas.openxmlformats.org/officeDocument/2006/relationships/customXml" Target="../ink/ink437.xml"/><Relationship Id="rId539" Type="http://schemas.openxmlformats.org/officeDocument/2006/relationships/customXml" Target="../ink/ink535.xml"/><Relationship Id="rId746" Type="http://schemas.openxmlformats.org/officeDocument/2006/relationships/customXml" Target="../ink/ink742.xml"/><Relationship Id="rId178" Type="http://schemas.openxmlformats.org/officeDocument/2006/relationships/customXml" Target="../ink/ink174.xml"/><Relationship Id="rId301" Type="http://schemas.openxmlformats.org/officeDocument/2006/relationships/customXml" Target="../ink/ink297.xml"/><Relationship Id="rId82" Type="http://schemas.openxmlformats.org/officeDocument/2006/relationships/customXml" Target="../ink/ink78.xml"/><Relationship Id="rId385" Type="http://schemas.openxmlformats.org/officeDocument/2006/relationships/customXml" Target="../ink/ink381.xml"/><Relationship Id="rId592" Type="http://schemas.openxmlformats.org/officeDocument/2006/relationships/customXml" Target="../ink/ink588.xml"/><Relationship Id="rId606" Type="http://schemas.openxmlformats.org/officeDocument/2006/relationships/customXml" Target="../ink/ink602.xml"/><Relationship Id="rId813" Type="http://schemas.openxmlformats.org/officeDocument/2006/relationships/customXml" Target="../ink/ink809.xml"/><Relationship Id="rId245" Type="http://schemas.openxmlformats.org/officeDocument/2006/relationships/customXml" Target="../ink/ink241.xml"/><Relationship Id="rId452" Type="http://schemas.openxmlformats.org/officeDocument/2006/relationships/customXml" Target="../ink/ink448.xml"/><Relationship Id="rId105" Type="http://schemas.openxmlformats.org/officeDocument/2006/relationships/customXml" Target="../ink/ink101.xml"/><Relationship Id="rId312" Type="http://schemas.openxmlformats.org/officeDocument/2006/relationships/customXml" Target="../ink/ink308.xml"/><Relationship Id="rId757" Type="http://schemas.openxmlformats.org/officeDocument/2006/relationships/customXml" Target="../ink/ink753.xml"/><Relationship Id="rId93" Type="http://schemas.openxmlformats.org/officeDocument/2006/relationships/customXml" Target="../ink/ink89.xml"/><Relationship Id="rId189" Type="http://schemas.openxmlformats.org/officeDocument/2006/relationships/customXml" Target="../ink/ink185.xml"/><Relationship Id="rId396" Type="http://schemas.openxmlformats.org/officeDocument/2006/relationships/customXml" Target="../ink/ink392.xml"/><Relationship Id="rId617" Type="http://schemas.openxmlformats.org/officeDocument/2006/relationships/customXml" Target="../ink/ink613.xml"/><Relationship Id="rId824" Type="http://schemas.openxmlformats.org/officeDocument/2006/relationships/customXml" Target="../ink/ink820.xml"/><Relationship Id="rId256" Type="http://schemas.openxmlformats.org/officeDocument/2006/relationships/customXml" Target="../ink/ink252.xml"/><Relationship Id="rId463" Type="http://schemas.openxmlformats.org/officeDocument/2006/relationships/customXml" Target="../ink/ink459.xml"/><Relationship Id="rId670" Type="http://schemas.openxmlformats.org/officeDocument/2006/relationships/customXml" Target="../ink/ink666.xml"/><Relationship Id="rId116" Type="http://schemas.openxmlformats.org/officeDocument/2006/relationships/customXml" Target="../ink/ink112.xml"/><Relationship Id="rId323" Type="http://schemas.openxmlformats.org/officeDocument/2006/relationships/customXml" Target="../ink/ink319.xml"/><Relationship Id="rId530" Type="http://schemas.openxmlformats.org/officeDocument/2006/relationships/customXml" Target="../ink/ink526.xml"/><Relationship Id="rId768" Type="http://schemas.openxmlformats.org/officeDocument/2006/relationships/customXml" Target="../ink/ink764.xml"/><Relationship Id="rId20" Type="http://schemas.openxmlformats.org/officeDocument/2006/relationships/customXml" Target="../ink/ink16.xml"/><Relationship Id="rId628" Type="http://schemas.openxmlformats.org/officeDocument/2006/relationships/customXml" Target="../ink/ink624.xml"/><Relationship Id="rId835" Type="http://schemas.openxmlformats.org/officeDocument/2006/relationships/customXml" Target="../ink/ink831.xml"/><Relationship Id="rId267" Type="http://schemas.openxmlformats.org/officeDocument/2006/relationships/customXml" Target="../ink/ink263.xml"/><Relationship Id="rId474" Type="http://schemas.openxmlformats.org/officeDocument/2006/relationships/customXml" Target="../ink/ink470.xml"/><Relationship Id="rId127" Type="http://schemas.openxmlformats.org/officeDocument/2006/relationships/customXml" Target="../ink/ink123.xml"/><Relationship Id="rId681" Type="http://schemas.openxmlformats.org/officeDocument/2006/relationships/customXml" Target="../ink/ink677.xml"/><Relationship Id="rId779" Type="http://schemas.openxmlformats.org/officeDocument/2006/relationships/customXml" Target="../ink/ink775.xml"/><Relationship Id="rId31" Type="http://schemas.openxmlformats.org/officeDocument/2006/relationships/customXml" Target="../ink/ink27.xml"/><Relationship Id="rId334" Type="http://schemas.openxmlformats.org/officeDocument/2006/relationships/customXml" Target="../ink/ink330.xml"/><Relationship Id="rId541" Type="http://schemas.openxmlformats.org/officeDocument/2006/relationships/customXml" Target="../ink/ink537.xml"/><Relationship Id="rId639" Type="http://schemas.openxmlformats.org/officeDocument/2006/relationships/customXml" Target="../ink/ink635.xml"/><Relationship Id="rId180" Type="http://schemas.openxmlformats.org/officeDocument/2006/relationships/customXml" Target="../ink/ink176.xml"/><Relationship Id="rId278" Type="http://schemas.openxmlformats.org/officeDocument/2006/relationships/customXml" Target="../ink/ink274.xml"/><Relationship Id="rId401" Type="http://schemas.openxmlformats.org/officeDocument/2006/relationships/customXml" Target="../ink/ink397.xml"/><Relationship Id="rId846" Type="http://schemas.openxmlformats.org/officeDocument/2006/relationships/customXml" Target="../ink/ink842.xml"/><Relationship Id="rId485" Type="http://schemas.openxmlformats.org/officeDocument/2006/relationships/customXml" Target="../ink/ink481.xml"/><Relationship Id="rId692" Type="http://schemas.openxmlformats.org/officeDocument/2006/relationships/customXml" Target="../ink/ink688.xml"/><Relationship Id="rId706" Type="http://schemas.openxmlformats.org/officeDocument/2006/relationships/customXml" Target="../ink/ink702.xml"/><Relationship Id="rId42" Type="http://schemas.openxmlformats.org/officeDocument/2006/relationships/customXml" Target="../ink/ink38.xml"/><Relationship Id="rId138" Type="http://schemas.openxmlformats.org/officeDocument/2006/relationships/customXml" Target="../ink/ink134.xml"/><Relationship Id="rId345" Type="http://schemas.openxmlformats.org/officeDocument/2006/relationships/customXml" Target="../ink/ink341.xml"/><Relationship Id="rId552" Type="http://schemas.openxmlformats.org/officeDocument/2006/relationships/customXml" Target="../ink/ink548.xml"/><Relationship Id="rId191" Type="http://schemas.openxmlformats.org/officeDocument/2006/relationships/customXml" Target="../ink/ink187.xml"/><Relationship Id="rId205" Type="http://schemas.openxmlformats.org/officeDocument/2006/relationships/customXml" Target="../ink/ink201.xml"/><Relationship Id="rId412" Type="http://schemas.openxmlformats.org/officeDocument/2006/relationships/customXml" Target="../ink/ink408.xml"/><Relationship Id="rId289" Type="http://schemas.openxmlformats.org/officeDocument/2006/relationships/customXml" Target="../ink/ink285.xml"/><Relationship Id="rId496" Type="http://schemas.openxmlformats.org/officeDocument/2006/relationships/customXml" Target="../ink/ink492.xml"/><Relationship Id="rId717" Type="http://schemas.openxmlformats.org/officeDocument/2006/relationships/customXml" Target="../ink/ink713.xml"/><Relationship Id="rId53" Type="http://schemas.openxmlformats.org/officeDocument/2006/relationships/customXml" Target="../ink/ink49.xml"/><Relationship Id="rId149" Type="http://schemas.openxmlformats.org/officeDocument/2006/relationships/customXml" Target="../ink/ink145.xml"/><Relationship Id="rId356" Type="http://schemas.openxmlformats.org/officeDocument/2006/relationships/customXml" Target="../ink/ink352.xml"/><Relationship Id="rId563" Type="http://schemas.openxmlformats.org/officeDocument/2006/relationships/customXml" Target="../ink/ink559.xml"/><Relationship Id="rId770" Type="http://schemas.openxmlformats.org/officeDocument/2006/relationships/customXml" Target="../ink/ink766.xml"/><Relationship Id="rId216" Type="http://schemas.openxmlformats.org/officeDocument/2006/relationships/customXml" Target="../ink/ink212.xml"/><Relationship Id="rId423" Type="http://schemas.openxmlformats.org/officeDocument/2006/relationships/customXml" Target="../ink/ink419.xml"/><Relationship Id="rId630" Type="http://schemas.openxmlformats.org/officeDocument/2006/relationships/customXml" Target="../ink/ink626.xml"/><Relationship Id="rId728" Type="http://schemas.openxmlformats.org/officeDocument/2006/relationships/customXml" Target="../ink/ink724.xml"/><Relationship Id="rId64" Type="http://schemas.openxmlformats.org/officeDocument/2006/relationships/customXml" Target="../ink/ink60.xml"/><Relationship Id="rId367" Type="http://schemas.openxmlformats.org/officeDocument/2006/relationships/customXml" Target="../ink/ink363.xml"/><Relationship Id="rId574" Type="http://schemas.openxmlformats.org/officeDocument/2006/relationships/customXml" Target="../ink/ink570.xml"/><Relationship Id="rId227" Type="http://schemas.openxmlformats.org/officeDocument/2006/relationships/customXml" Target="../ink/ink223.xml"/><Relationship Id="rId781" Type="http://schemas.openxmlformats.org/officeDocument/2006/relationships/customXml" Target="../ink/ink777.xml"/><Relationship Id="rId434" Type="http://schemas.openxmlformats.org/officeDocument/2006/relationships/customXml" Target="../ink/ink430.xml"/><Relationship Id="rId641" Type="http://schemas.openxmlformats.org/officeDocument/2006/relationships/customXml" Target="../ink/ink637.xml"/><Relationship Id="rId739" Type="http://schemas.openxmlformats.org/officeDocument/2006/relationships/customXml" Target="../ink/ink735.xml"/><Relationship Id="rId280" Type="http://schemas.openxmlformats.org/officeDocument/2006/relationships/customXml" Target="../ink/ink276.xml"/><Relationship Id="rId501" Type="http://schemas.openxmlformats.org/officeDocument/2006/relationships/customXml" Target="../ink/ink497.xml"/><Relationship Id="rId75" Type="http://schemas.openxmlformats.org/officeDocument/2006/relationships/customXml" Target="../ink/ink71.xml"/><Relationship Id="rId140" Type="http://schemas.openxmlformats.org/officeDocument/2006/relationships/customXml" Target="../ink/ink136.xml"/><Relationship Id="rId378" Type="http://schemas.openxmlformats.org/officeDocument/2006/relationships/customXml" Target="../ink/ink374.xml"/><Relationship Id="rId585" Type="http://schemas.openxmlformats.org/officeDocument/2006/relationships/customXml" Target="../ink/ink581.xml"/><Relationship Id="rId792" Type="http://schemas.openxmlformats.org/officeDocument/2006/relationships/customXml" Target="../ink/ink788.xml"/><Relationship Id="rId806" Type="http://schemas.openxmlformats.org/officeDocument/2006/relationships/customXml" Target="../ink/ink802.xml"/><Relationship Id="rId6" Type="http://schemas.openxmlformats.org/officeDocument/2006/relationships/customXml" Target="../ink/ink3.xml"/><Relationship Id="rId238" Type="http://schemas.openxmlformats.org/officeDocument/2006/relationships/customXml" Target="../ink/ink234.xml"/><Relationship Id="rId445" Type="http://schemas.openxmlformats.org/officeDocument/2006/relationships/customXml" Target="../ink/ink441.xml"/><Relationship Id="rId652" Type="http://schemas.openxmlformats.org/officeDocument/2006/relationships/customXml" Target="../ink/ink648.xml"/><Relationship Id="rId291" Type="http://schemas.openxmlformats.org/officeDocument/2006/relationships/customXml" Target="../ink/ink287.xml"/><Relationship Id="rId305" Type="http://schemas.openxmlformats.org/officeDocument/2006/relationships/customXml" Target="../ink/ink301.xml"/><Relationship Id="rId512" Type="http://schemas.openxmlformats.org/officeDocument/2006/relationships/customXml" Target="../ink/ink508.xml"/><Relationship Id="rId86" Type="http://schemas.openxmlformats.org/officeDocument/2006/relationships/customXml" Target="../ink/ink82.xml"/><Relationship Id="rId151" Type="http://schemas.openxmlformats.org/officeDocument/2006/relationships/customXml" Target="../ink/ink147.xml"/><Relationship Id="rId389" Type="http://schemas.openxmlformats.org/officeDocument/2006/relationships/customXml" Target="../ink/ink385.xml"/><Relationship Id="rId596" Type="http://schemas.openxmlformats.org/officeDocument/2006/relationships/customXml" Target="../ink/ink592.xml"/><Relationship Id="rId817" Type="http://schemas.openxmlformats.org/officeDocument/2006/relationships/customXml" Target="../ink/ink813.xml"/><Relationship Id="rId249" Type="http://schemas.openxmlformats.org/officeDocument/2006/relationships/customXml" Target="../ink/ink245.xml"/><Relationship Id="rId456" Type="http://schemas.openxmlformats.org/officeDocument/2006/relationships/customXml" Target="../ink/ink452.xml"/><Relationship Id="rId663" Type="http://schemas.openxmlformats.org/officeDocument/2006/relationships/customXml" Target="../ink/ink659.xml"/><Relationship Id="rId13" Type="http://schemas.openxmlformats.org/officeDocument/2006/relationships/customXml" Target="../ink/ink9.xml"/><Relationship Id="rId109" Type="http://schemas.openxmlformats.org/officeDocument/2006/relationships/customXml" Target="../ink/ink105.xml"/><Relationship Id="rId316" Type="http://schemas.openxmlformats.org/officeDocument/2006/relationships/customXml" Target="../ink/ink312.xml"/><Relationship Id="rId523" Type="http://schemas.openxmlformats.org/officeDocument/2006/relationships/customXml" Target="../ink/ink519.xml"/><Relationship Id="rId97" Type="http://schemas.openxmlformats.org/officeDocument/2006/relationships/customXml" Target="../ink/ink93.xml"/><Relationship Id="rId730" Type="http://schemas.openxmlformats.org/officeDocument/2006/relationships/customXml" Target="../ink/ink726.xml"/><Relationship Id="rId828" Type="http://schemas.openxmlformats.org/officeDocument/2006/relationships/customXml" Target="../ink/ink824.xml"/><Relationship Id="rId162" Type="http://schemas.openxmlformats.org/officeDocument/2006/relationships/customXml" Target="../ink/ink158.xml"/><Relationship Id="rId467" Type="http://schemas.openxmlformats.org/officeDocument/2006/relationships/customXml" Target="../ink/ink463.xml"/><Relationship Id="rId674" Type="http://schemas.openxmlformats.org/officeDocument/2006/relationships/customXml" Target="../ink/ink670.xml"/><Relationship Id="rId24" Type="http://schemas.openxmlformats.org/officeDocument/2006/relationships/customXml" Target="../ink/ink20.xml"/><Relationship Id="rId66" Type="http://schemas.openxmlformats.org/officeDocument/2006/relationships/customXml" Target="../ink/ink62.xml"/><Relationship Id="rId131" Type="http://schemas.openxmlformats.org/officeDocument/2006/relationships/customXml" Target="../ink/ink127.xml"/><Relationship Id="rId327" Type="http://schemas.openxmlformats.org/officeDocument/2006/relationships/customXml" Target="../ink/ink323.xml"/><Relationship Id="rId369" Type="http://schemas.openxmlformats.org/officeDocument/2006/relationships/customXml" Target="../ink/ink365.xml"/><Relationship Id="rId534" Type="http://schemas.openxmlformats.org/officeDocument/2006/relationships/customXml" Target="../ink/ink530.xml"/><Relationship Id="rId576" Type="http://schemas.openxmlformats.org/officeDocument/2006/relationships/customXml" Target="../ink/ink572.xml"/><Relationship Id="rId741" Type="http://schemas.openxmlformats.org/officeDocument/2006/relationships/customXml" Target="../ink/ink737.xml"/><Relationship Id="rId783" Type="http://schemas.openxmlformats.org/officeDocument/2006/relationships/customXml" Target="../ink/ink779.xml"/><Relationship Id="rId839" Type="http://schemas.openxmlformats.org/officeDocument/2006/relationships/customXml" Target="../ink/ink835.xml"/><Relationship Id="rId173" Type="http://schemas.openxmlformats.org/officeDocument/2006/relationships/customXml" Target="../ink/ink169.xml"/><Relationship Id="rId229" Type="http://schemas.openxmlformats.org/officeDocument/2006/relationships/customXml" Target="../ink/ink225.xml"/><Relationship Id="rId380" Type="http://schemas.openxmlformats.org/officeDocument/2006/relationships/customXml" Target="../ink/ink376.xml"/><Relationship Id="rId436" Type="http://schemas.openxmlformats.org/officeDocument/2006/relationships/customXml" Target="../ink/ink432.xml"/><Relationship Id="rId601" Type="http://schemas.openxmlformats.org/officeDocument/2006/relationships/customXml" Target="../ink/ink597.xml"/><Relationship Id="rId643" Type="http://schemas.openxmlformats.org/officeDocument/2006/relationships/customXml" Target="../ink/ink639.xml"/><Relationship Id="rId240" Type="http://schemas.openxmlformats.org/officeDocument/2006/relationships/customXml" Target="../ink/ink236.xml"/><Relationship Id="rId478" Type="http://schemas.openxmlformats.org/officeDocument/2006/relationships/customXml" Target="../ink/ink474.xml"/><Relationship Id="rId685" Type="http://schemas.openxmlformats.org/officeDocument/2006/relationships/customXml" Target="../ink/ink681.xml"/><Relationship Id="rId35" Type="http://schemas.openxmlformats.org/officeDocument/2006/relationships/customXml" Target="../ink/ink31.xml"/><Relationship Id="rId77" Type="http://schemas.openxmlformats.org/officeDocument/2006/relationships/customXml" Target="../ink/ink73.xml"/><Relationship Id="rId100" Type="http://schemas.openxmlformats.org/officeDocument/2006/relationships/customXml" Target="../ink/ink96.xml"/><Relationship Id="rId282" Type="http://schemas.openxmlformats.org/officeDocument/2006/relationships/customXml" Target="../ink/ink278.xml"/><Relationship Id="rId338" Type="http://schemas.openxmlformats.org/officeDocument/2006/relationships/customXml" Target="../ink/ink334.xml"/><Relationship Id="rId503" Type="http://schemas.openxmlformats.org/officeDocument/2006/relationships/customXml" Target="../ink/ink499.xml"/><Relationship Id="rId545" Type="http://schemas.openxmlformats.org/officeDocument/2006/relationships/customXml" Target="../ink/ink541.xml"/><Relationship Id="rId587" Type="http://schemas.openxmlformats.org/officeDocument/2006/relationships/customXml" Target="../ink/ink583.xml"/><Relationship Id="rId710" Type="http://schemas.openxmlformats.org/officeDocument/2006/relationships/customXml" Target="../ink/ink706.xml"/><Relationship Id="rId752" Type="http://schemas.openxmlformats.org/officeDocument/2006/relationships/customXml" Target="../ink/ink748.xml"/><Relationship Id="rId808" Type="http://schemas.openxmlformats.org/officeDocument/2006/relationships/customXml" Target="../ink/ink804.xml"/><Relationship Id="rId8" Type="http://schemas.openxmlformats.org/officeDocument/2006/relationships/customXml" Target="../ink/ink4.xml"/><Relationship Id="rId142" Type="http://schemas.openxmlformats.org/officeDocument/2006/relationships/customXml" Target="../ink/ink138.xml"/><Relationship Id="rId184" Type="http://schemas.openxmlformats.org/officeDocument/2006/relationships/customXml" Target="../ink/ink180.xml"/><Relationship Id="rId391" Type="http://schemas.openxmlformats.org/officeDocument/2006/relationships/customXml" Target="../ink/ink387.xml"/><Relationship Id="rId405" Type="http://schemas.openxmlformats.org/officeDocument/2006/relationships/customXml" Target="../ink/ink401.xml"/><Relationship Id="rId447" Type="http://schemas.openxmlformats.org/officeDocument/2006/relationships/customXml" Target="../ink/ink443.xml"/><Relationship Id="rId612" Type="http://schemas.openxmlformats.org/officeDocument/2006/relationships/customXml" Target="../ink/ink608.xml"/><Relationship Id="rId794" Type="http://schemas.openxmlformats.org/officeDocument/2006/relationships/customXml" Target="../ink/ink790.xml"/><Relationship Id="rId251" Type="http://schemas.openxmlformats.org/officeDocument/2006/relationships/customXml" Target="../ink/ink247.xml"/><Relationship Id="rId489" Type="http://schemas.openxmlformats.org/officeDocument/2006/relationships/customXml" Target="../ink/ink485.xml"/><Relationship Id="rId654" Type="http://schemas.openxmlformats.org/officeDocument/2006/relationships/customXml" Target="../ink/ink650.xml"/><Relationship Id="rId696" Type="http://schemas.openxmlformats.org/officeDocument/2006/relationships/customXml" Target="../ink/ink692.xml"/><Relationship Id="rId46" Type="http://schemas.openxmlformats.org/officeDocument/2006/relationships/customXml" Target="../ink/ink42.xml"/><Relationship Id="rId293" Type="http://schemas.openxmlformats.org/officeDocument/2006/relationships/customXml" Target="../ink/ink289.xml"/><Relationship Id="rId307" Type="http://schemas.openxmlformats.org/officeDocument/2006/relationships/customXml" Target="../ink/ink303.xml"/><Relationship Id="rId349" Type="http://schemas.openxmlformats.org/officeDocument/2006/relationships/customXml" Target="../ink/ink345.xml"/><Relationship Id="rId514" Type="http://schemas.openxmlformats.org/officeDocument/2006/relationships/customXml" Target="../ink/ink510.xml"/><Relationship Id="rId556" Type="http://schemas.openxmlformats.org/officeDocument/2006/relationships/customXml" Target="../ink/ink552.xml"/><Relationship Id="rId721" Type="http://schemas.openxmlformats.org/officeDocument/2006/relationships/customXml" Target="../ink/ink717.xml"/><Relationship Id="rId763" Type="http://schemas.openxmlformats.org/officeDocument/2006/relationships/customXml" Target="../ink/ink759.xml"/><Relationship Id="rId88" Type="http://schemas.openxmlformats.org/officeDocument/2006/relationships/customXml" Target="../ink/ink84.xml"/><Relationship Id="rId111" Type="http://schemas.openxmlformats.org/officeDocument/2006/relationships/customXml" Target="../ink/ink107.xml"/><Relationship Id="rId153" Type="http://schemas.openxmlformats.org/officeDocument/2006/relationships/customXml" Target="../ink/ink149.xml"/><Relationship Id="rId195" Type="http://schemas.openxmlformats.org/officeDocument/2006/relationships/customXml" Target="../ink/ink191.xml"/><Relationship Id="rId209" Type="http://schemas.openxmlformats.org/officeDocument/2006/relationships/customXml" Target="../ink/ink205.xml"/><Relationship Id="rId360" Type="http://schemas.openxmlformats.org/officeDocument/2006/relationships/customXml" Target="../ink/ink356.xml"/><Relationship Id="rId416" Type="http://schemas.openxmlformats.org/officeDocument/2006/relationships/customXml" Target="../ink/ink412.xml"/><Relationship Id="rId598" Type="http://schemas.openxmlformats.org/officeDocument/2006/relationships/customXml" Target="../ink/ink594.xml"/><Relationship Id="rId819" Type="http://schemas.openxmlformats.org/officeDocument/2006/relationships/customXml" Target="../ink/ink815.xml"/><Relationship Id="rId220" Type="http://schemas.openxmlformats.org/officeDocument/2006/relationships/customXml" Target="../ink/ink216.xml"/><Relationship Id="rId458" Type="http://schemas.openxmlformats.org/officeDocument/2006/relationships/customXml" Target="../ink/ink454.xml"/><Relationship Id="rId623" Type="http://schemas.openxmlformats.org/officeDocument/2006/relationships/customXml" Target="../ink/ink619.xml"/><Relationship Id="rId665" Type="http://schemas.openxmlformats.org/officeDocument/2006/relationships/customXml" Target="../ink/ink661.xml"/><Relationship Id="rId830" Type="http://schemas.openxmlformats.org/officeDocument/2006/relationships/customXml" Target="../ink/ink826.xml"/><Relationship Id="rId15" Type="http://schemas.openxmlformats.org/officeDocument/2006/relationships/customXml" Target="../ink/ink11.xml"/><Relationship Id="rId57" Type="http://schemas.openxmlformats.org/officeDocument/2006/relationships/customXml" Target="../ink/ink53.xml"/><Relationship Id="rId262" Type="http://schemas.openxmlformats.org/officeDocument/2006/relationships/customXml" Target="../ink/ink258.xml"/><Relationship Id="rId318" Type="http://schemas.openxmlformats.org/officeDocument/2006/relationships/customXml" Target="../ink/ink314.xml"/><Relationship Id="rId525" Type="http://schemas.openxmlformats.org/officeDocument/2006/relationships/customXml" Target="../ink/ink521.xml"/><Relationship Id="rId567" Type="http://schemas.openxmlformats.org/officeDocument/2006/relationships/customXml" Target="../ink/ink563.xml"/><Relationship Id="rId732" Type="http://schemas.openxmlformats.org/officeDocument/2006/relationships/customXml" Target="../ink/ink728.xml"/><Relationship Id="rId99" Type="http://schemas.openxmlformats.org/officeDocument/2006/relationships/customXml" Target="../ink/ink95.xml"/><Relationship Id="rId122" Type="http://schemas.openxmlformats.org/officeDocument/2006/relationships/customXml" Target="../ink/ink118.xml"/><Relationship Id="rId164" Type="http://schemas.openxmlformats.org/officeDocument/2006/relationships/customXml" Target="../ink/ink160.xml"/><Relationship Id="rId371" Type="http://schemas.openxmlformats.org/officeDocument/2006/relationships/customXml" Target="../ink/ink367.xml"/><Relationship Id="rId774" Type="http://schemas.openxmlformats.org/officeDocument/2006/relationships/customXml" Target="../ink/ink770.xml"/><Relationship Id="rId427" Type="http://schemas.openxmlformats.org/officeDocument/2006/relationships/customXml" Target="../ink/ink423.xml"/><Relationship Id="rId469" Type="http://schemas.openxmlformats.org/officeDocument/2006/relationships/customXml" Target="../ink/ink465.xml"/><Relationship Id="rId634" Type="http://schemas.openxmlformats.org/officeDocument/2006/relationships/customXml" Target="../ink/ink630.xml"/><Relationship Id="rId676" Type="http://schemas.openxmlformats.org/officeDocument/2006/relationships/customXml" Target="../ink/ink672.xml"/><Relationship Id="rId841" Type="http://schemas.openxmlformats.org/officeDocument/2006/relationships/customXml" Target="../ink/ink837.xml"/><Relationship Id="rId26" Type="http://schemas.openxmlformats.org/officeDocument/2006/relationships/customXml" Target="../ink/ink22.xml"/><Relationship Id="rId231" Type="http://schemas.openxmlformats.org/officeDocument/2006/relationships/customXml" Target="../ink/ink227.xml"/><Relationship Id="rId273" Type="http://schemas.openxmlformats.org/officeDocument/2006/relationships/customXml" Target="../ink/ink269.xml"/><Relationship Id="rId329" Type="http://schemas.openxmlformats.org/officeDocument/2006/relationships/customXml" Target="../ink/ink325.xml"/><Relationship Id="rId480" Type="http://schemas.openxmlformats.org/officeDocument/2006/relationships/customXml" Target="../ink/ink476.xml"/><Relationship Id="rId536" Type="http://schemas.openxmlformats.org/officeDocument/2006/relationships/customXml" Target="../ink/ink532.xml"/><Relationship Id="rId701" Type="http://schemas.openxmlformats.org/officeDocument/2006/relationships/customXml" Target="../ink/ink697.xml"/><Relationship Id="rId68" Type="http://schemas.openxmlformats.org/officeDocument/2006/relationships/customXml" Target="../ink/ink64.xml"/><Relationship Id="rId133" Type="http://schemas.openxmlformats.org/officeDocument/2006/relationships/customXml" Target="../ink/ink129.xml"/><Relationship Id="rId175" Type="http://schemas.openxmlformats.org/officeDocument/2006/relationships/customXml" Target="../ink/ink171.xml"/><Relationship Id="rId340" Type="http://schemas.openxmlformats.org/officeDocument/2006/relationships/customXml" Target="../ink/ink336.xml"/><Relationship Id="rId578" Type="http://schemas.openxmlformats.org/officeDocument/2006/relationships/customXml" Target="../ink/ink574.xml"/><Relationship Id="rId743" Type="http://schemas.openxmlformats.org/officeDocument/2006/relationships/customXml" Target="../ink/ink739.xml"/><Relationship Id="rId785" Type="http://schemas.openxmlformats.org/officeDocument/2006/relationships/customXml" Target="../ink/ink781.xml"/><Relationship Id="rId200" Type="http://schemas.openxmlformats.org/officeDocument/2006/relationships/customXml" Target="../ink/ink196.xml"/><Relationship Id="rId382" Type="http://schemas.openxmlformats.org/officeDocument/2006/relationships/customXml" Target="../ink/ink378.xml"/><Relationship Id="rId438" Type="http://schemas.openxmlformats.org/officeDocument/2006/relationships/customXml" Target="../ink/ink434.xml"/><Relationship Id="rId603" Type="http://schemas.openxmlformats.org/officeDocument/2006/relationships/customXml" Target="../ink/ink599.xml"/><Relationship Id="rId645" Type="http://schemas.openxmlformats.org/officeDocument/2006/relationships/customXml" Target="../ink/ink641.xml"/><Relationship Id="rId687" Type="http://schemas.openxmlformats.org/officeDocument/2006/relationships/customXml" Target="../ink/ink683.xml"/><Relationship Id="rId810" Type="http://schemas.openxmlformats.org/officeDocument/2006/relationships/customXml" Target="../ink/ink806.xml"/><Relationship Id="rId242" Type="http://schemas.openxmlformats.org/officeDocument/2006/relationships/customXml" Target="../ink/ink238.xml"/><Relationship Id="rId284" Type="http://schemas.openxmlformats.org/officeDocument/2006/relationships/customXml" Target="../ink/ink280.xml"/><Relationship Id="rId491" Type="http://schemas.openxmlformats.org/officeDocument/2006/relationships/customXml" Target="../ink/ink487.xml"/><Relationship Id="rId505" Type="http://schemas.openxmlformats.org/officeDocument/2006/relationships/customXml" Target="../ink/ink501.xml"/><Relationship Id="rId712" Type="http://schemas.openxmlformats.org/officeDocument/2006/relationships/customXml" Target="../ink/ink708.xml"/><Relationship Id="rId37" Type="http://schemas.openxmlformats.org/officeDocument/2006/relationships/customXml" Target="../ink/ink33.xml"/><Relationship Id="rId79" Type="http://schemas.openxmlformats.org/officeDocument/2006/relationships/customXml" Target="../ink/ink75.xml"/><Relationship Id="rId102" Type="http://schemas.openxmlformats.org/officeDocument/2006/relationships/customXml" Target="../ink/ink98.xml"/><Relationship Id="rId144" Type="http://schemas.openxmlformats.org/officeDocument/2006/relationships/customXml" Target="../ink/ink140.xml"/><Relationship Id="rId547" Type="http://schemas.openxmlformats.org/officeDocument/2006/relationships/customXml" Target="../ink/ink543.xml"/><Relationship Id="rId589" Type="http://schemas.openxmlformats.org/officeDocument/2006/relationships/customXml" Target="../ink/ink585.xml"/><Relationship Id="rId754" Type="http://schemas.openxmlformats.org/officeDocument/2006/relationships/customXml" Target="../ink/ink750.xml"/><Relationship Id="rId796" Type="http://schemas.openxmlformats.org/officeDocument/2006/relationships/customXml" Target="../ink/ink792.xml"/><Relationship Id="rId90" Type="http://schemas.openxmlformats.org/officeDocument/2006/relationships/customXml" Target="../ink/ink86.xml"/><Relationship Id="rId186" Type="http://schemas.openxmlformats.org/officeDocument/2006/relationships/customXml" Target="../ink/ink182.xml"/><Relationship Id="rId351" Type="http://schemas.openxmlformats.org/officeDocument/2006/relationships/customXml" Target="../ink/ink347.xml"/><Relationship Id="rId393" Type="http://schemas.openxmlformats.org/officeDocument/2006/relationships/customXml" Target="../ink/ink389.xml"/><Relationship Id="rId407" Type="http://schemas.openxmlformats.org/officeDocument/2006/relationships/customXml" Target="../ink/ink403.xml"/><Relationship Id="rId449" Type="http://schemas.openxmlformats.org/officeDocument/2006/relationships/customXml" Target="../ink/ink445.xml"/><Relationship Id="rId614" Type="http://schemas.openxmlformats.org/officeDocument/2006/relationships/customXml" Target="../ink/ink610.xml"/><Relationship Id="rId656" Type="http://schemas.openxmlformats.org/officeDocument/2006/relationships/customXml" Target="../ink/ink652.xml"/><Relationship Id="rId821" Type="http://schemas.openxmlformats.org/officeDocument/2006/relationships/customXml" Target="../ink/ink817.xml"/><Relationship Id="rId211" Type="http://schemas.openxmlformats.org/officeDocument/2006/relationships/customXml" Target="../ink/ink207.xml"/><Relationship Id="rId253" Type="http://schemas.openxmlformats.org/officeDocument/2006/relationships/customXml" Target="../ink/ink249.xml"/><Relationship Id="rId295" Type="http://schemas.openxmlformats.org/officeDocument/2006/relationships/customXml" Target="../ink/ink291.xml"/><Relationship Id="rId309" Type="http://schemas.openxmlformats.org/officeDocument/2006/relationships/customXml" Target="../ink/ink305.xml"/><Relationship Id="rId460" Type="http://schemas.openxmlformats.org/officeDocument/2006/relationships/customXml" Target="../ink/ink456.xml"/><Relationship Id="rId516" Type="http://schemas.openxmlformats.org/officeDocument/2006/relationships/customXml" Target="../ink/ink512.xml"/><Relationship Id="rId698" Type="http://schemas.openxmlformats.org/officeDocument/2006/relationships/customXml" Target="../ink/ink694.xml"/><Relationship Id="rId48" Type="http://schemas.openxmlformats.org/officeDocument/2006/relationships/customXml" Target="../ink/ink44.xml"/><Relationship Id="rId113" Type="http://schemas.openxmlformats.org/officeDocument/2006/relationships/customXml" Target="../ink/ink109.xml"/><Relationship Id="rId320" Type="http://schemas.openxmlformats.org/officeDocument/2006/relationships/customXml" Target="../ink/ink316.xml"/><Relationship Id="rId558" Type="http://schemas.openxmlformats.org/officeDocument/2006/relationships/customXml" Target="../ink/ink554.xml"/><Relationship Id="rId723" Type="http://schemas.openxmlformats.org/officeDocument/2006/relationships/customXml" Target="../ink/ink719.xml"/><Relationship Id="rId765" Type="http://schemas.openxmlformats.org/officeDocument/2006/relationships/customXml" Target="../ink/ink761.xml"/><Relationship Id="rId155" Type="http://schemas.openxmlformats.org/officeDocument/2006/relationships/customXml" Target="../ink/ink151.xml"/><Relationship Id="rId197" Type="http://schemas.openxmlformats.org/officeDocument/2006/relationships/customXml" Target="../ink/ink193.xml"/><Relationship Id="rId362" Type="http://schemas.openxmlformats.org/officeDocument/2006/relationships/customXml" Target="../ink/ink358.xml"/><Relationship Id="rId418" Type="http://schemas.openxmlformats.org/officeDocument/2006/relationships/customXml" Target="../ink/ink414.xml"/><Relationship Id="rId625" Type="http://schemas.openxmlformats.org/officeDocument/2006/relationships/customXml" Target="../ink/ink621.xml"/><Relationship Id="rId832" Type="http://schemas.openxmlformats.org/officeDocument/2006/relationships/customXml" Target="../ink/ink828.xml"/><Relationship Id="rId222" Type="http://schemas.openxmlformats.org/officeDocument/2006/relationships/customXml" Target="../ink/ink218.xml"/><Relationship Id="rId264" Type="http://schemas.openxmlformats.org/officeDocument/2006/relationships/customXml" Target="../ink/ink260.xml"/><Relationship Id="rId471" Type="http://schemas.openxmlformats.org/officeDocument/2006/relationships/customXml" Target="../ink/ink467.xml"/><Relationship Id="rId667" Type="http://schemas.openxmlformats.org/officeDocument/2006/relationships/customXml" Target="../ink/ink663.xml"/><Relationship Id="rId17" Type="http://schemas.openxmlformats.org/officeDocument/2006/relationships/customXml" Target="../ink/ink13.xml"/><Relationship Id="rId59" Type="http://schemas.openxmlformats.org/officeDocument/2006/relationships/customXml" Target="../ink/ink55.xml"/><Relationship Id="rId124" Type="http://schemas.openxmlformats.org/officeDocument/2006/relationships/customXml" Target="../ink/ink120.xml"/><Relationship Id="rId527" Type="http://schemas.openxmlformats.org/officeDocument/2006/relationships/customXml" Target="../ink/ink523.xml"/><Relationship Id="rId569" Type="http://schemas.openxmlformats.org/officeDocument/2006/relationships/customXml" Target="../ink/ink565.xml"/><Relationship Id="rId734" Type="http://schemas.openxmlformats.org/officeDocument/2006/relationships/customXml" Target="../ink/ink730.xml"/><Relationship Id="rId776" Type="http://schemas.openxmlformats.org/officeDocument/2006/relationships/customXml" Target="../ink/ink772.xml"/><Relationship Id="rId70" Type="http://schemas.openxmlformats.org/officeDocument/2006/relationships/customXml" Target="../ink/ink66.xml"/><Relationship Id="rId166" Type="http://schemas.openxmlformats.org/officeDocument/2006/relationships/customXml" Target="../ink/ink162.xml"/><Relationship Id="rId331" Type="http://schemas.openxmlformats.org/officeDocument/2006/relationships/customXml" Target="../ink/ink327.xml"/><Relationship Id="rId373" Type="http://schemas.openxmlformats.org/officeDocument/2006/relationships/customXml" Target="../ink/ink369.xml"/><Relationship Id="rId429" Type="http://schemas.openxmlformats.org/officeDocument/2006/relationships/customXml" Target="../ink/ink425.xml"/><Relationship Id="rId580" Type="http://schemas.openxmlformats.org/officeDocument/2006/relationships/customXml" Target="../ink/ink576.xml"/><Relationship Id="rId636" Type="http://schemas.openxmlformats.org/officeDocument/2006/relationships/customXml" Target="../ink/ink632.xml"/><Relationship Id="rId801" Type="http://schemas.openxmlformats.org/officeDocument/2006/relationships/customXml" Target="../ink/ink797.xml"/><Relationship Id="rId1" Type="http://schemas.openxmlformats.org/officeDocument/2006/relationships/customXml" Target="../ink/ink1.xml"/><Relationship Id="rId233" Type="http://schemas.openxmlformats.org/officeDocument/2006/relationships/customXml" Target="../ink/ink229.xml"/><Relationship Id="rId440" Type="http://schemas.openxmlformats.org/officeDocument/2006/relationships/customXml" Target="../ink/ink436.xml"/><Relationship Id="rId678" Type="http://schemas.openxmlformats.org/officeDocument/2006/relationships/customXml" Target="../ink/ink674.xml"/><Relationship Id="rId843" Type="http://schemas.openxmlformats.org/officeDocument/2006/relationships/customXml" Target="../ink/ink839.xml"/><Relationship Id="rId28" Type="http://schemas.openxmlformats.org/officeDocument/2006/relationships/customXml" Target="../ink/ink24.xml"/><Relationship Id="rId275" Type="http://schemas.openxmlformats.org/officeDocument/2006/relationships/customXml" Target="../ink/ink271.xml"/><Relationship Id="rId300" Type="http://schemas.openxmlformats.org/officeDocument/2006/relationships/customXml" Target="../ink/ink296.xml"/><Relationship Id="rId482" Type="http://schemas.openxmlformats.org/officeDocument/2006/relationships/customXml" Target="../ink/ink478.xml"/><Relationship Id="rId538" Type="http://schemas.openxmlformats.org/officeDocument/2006/relationships/customXml" Target="../ink/ink534.xml"/><Relationship Id="rId703" Type="http://schemas.openxmlformats.org/officeDocument/2006/relationships/customXml" Target="../ink/ink699.xml"/><Relationship Id="rId745" Type="http://schemas.openxmlformats.org/officeDocument/2006/relationships/customXml" Target="../ink/ink741.xml"/><Relationship Id="rId81" Type="http://schemas.openxmlformats.org/officeDocument/2006/relationships/customXml" Target="../ink/ink77.xml"/><Relationship Id="rId135" Type="http://schemas.openxmlformats.org/officeDocument/2006/relationships/customXml" Target="../ink/ink131.xml"/><Relationship Id="rId177" Type="http://schemas.openxmlformats.org/officeDocument/2006/relationships/customXml" Target="../ink/ink173.xml"/><Relationship Id="rId342" Type="http://schemas.openxmlformats.org/officeDocument/2006/relationships/customXml" Target="../ink/ink338.xml"/><Relationship Id="rId384" Type="http://schemas.openxmlformats.org/officeDocument/2006/relationships/customXml" Target="../ink/ink380.xml"/><Relationship Id="rId591" Type="http://schemas.openxmlformats.org/officeDocument/2006/relationships/customXml" Target="../ink/ink587.xml"/><Relationship Id="rId605" Type="http://schemas.openxmlformats.org/officeDocument/2006/relationships/customXml" Target="../ink/ink601.xml"/><Relationship Id="rId787" Type="http://schemas.openxmlformats.org/officeDocument/2006/relationships/customXml" Target="../ink/ink783.xml"/><Relationship Id="rId812" Type="http://schemas.openxmlformats.org/officeDocument/2006/relationships/customXml" Target="../ink/ink808.xml"/><Relationship Id="rId202" Type="http://schemas.openxmlformats.org/officeDocument/2006/relationships/customXml" Target="../ink/ink198.xml"/><Relationship Id="rId244" Type="http://schemas.openxmlformats.org/officeDocument/2006/relationships/customXml" Target="../ink/ink240.xml"/><Relationship Id="rId647" Type="http://schemas.openxmlformats.org/officeDocument/2006/relationships/customXml" Target="../ink/ink643.xml"/><Relationship Id="rId689" Type="http://schemas.openxmlformats.org/officeDocument/2006/relationships/customXml" Target="../ink/ink685.xml"/><Relationship Id="rId39" Type="http://schemas.openxmlformats.org/officeDocument/2006/relationships/customXml" Target="../ink/ink35.xml"/><Relationship Id="rId286" Type="http://schemas.openxmlformats.org/officeDocument/2006/relationships/customXml" Target="../ink/ink282.xml"/><Relationship Id="rId451" Type="http://schemas.openxmlformats.org/officeDocument/2006/relationships/customXml" Target="../ink/ink447.xml"/><Relationship Id="rId493" Type="http://schemas.openxmlformats.org/officeDocument/2006/relationships/customXml" Target="../ink/ink489.xml"/><Relationship Id="rId507" Type="http://schemas.openxmlformats.org/officeDocument/2006/relationships/customXml" Target="../ink/ink503.xml"/><Relationship Id="rId549" Type="http://schemas.openxmlformats.org/officeDocument/2006/relationships/customXml" Target="../ink/ink545.xml"/><Relationship Id="rId714" Type="http://schemas.openxmlformats.org/officeDocument/2006/relationships/customXml" Target="../ink/ink710.xml"/><Relationship Id="rId756" Type="http://schemas.openxmlformats.org/officeDocument/2006/relationships/customXml" Target="../ink/ink752.xml"/><Relationship Id="rId50" Type="http://schemas.openxmlformats.org/officeDocument/2006/relationships/customXml" Target="../ink/ink46.xml"/><Relationship Id="rId104" Type="http://schemas.openxmlformats.org/officeDocument/2006/relationships/customXml" Target="../ink/ink100.xml"/><Relationship Id="rId146" Type="http://schemas.openxmlformats.org/officeDocument/2006/relationships/customXml" Target="../ink/ink142.xml"/><Relationship Id="rId188" Type="http://schemas.openxmlformats.org/officeDocument/2006/relationships/customXml" Target="../ink/ink184.xml"/><Relationship Id="rId311" Type="http://schemas.openxmlformats.org/officeDocument/2006/relationships/customXml" Target="../ink/ink307.xml"/><Relationship Id="rId353" Type="http://schemas.openxmlformats.org/officeDocument/2006/relationships/customXml" Target="../ink/ink349.xml"/><Relationship Id="rId395" Type="http://schemas.openxmlformats.org/officeDocument/2006/relationships/customXml" Target="../ink/ink391.xml"/><Relationship Id="rId409" Type="http://schemas.openxmlformats.org/officeDocument/2006/relationships/customXml" Target="../ink/ink405.xml"/><Relationship Id="rId560" Type="http://schemas.openxmlformats.org/officeDocument/2006/relationships/customXml" Target="../ink/ink556.xml"/><Relationship Id="rId798" Type="http://schemas.openxmlformats.org/officeDocument/2006/relationships/customXml" Target="../ink/ink794.xml"/><Relationship Id="rId92" Type="http://schemas.openxmlformats.org/officeDocument/2006/relationships/customXml" Target="../ink/ink88.xml"/><Relationship Id="rId213" Type="http://schemas.openxmlformats.org/officeDocument/2006/relationships/customXml" Target="../ink/ink209.xml"/><Relationship Id="rId420" Type="http://schemas.openxmlformats.org/officeDocument/2006/relationships/customXml" Target="../ink/ink416.xml"/><Relationship Id="rId616" Type="http://schemas.openxmlformats.org/officeDocument/2006/relationships/customXml" Target="../ink/ink612.xml"/><Relationship Id="rId658" Type="http://schemas.openxmlformats.org/officeDocument/2006/relationships/customXml" Target="../ink/ink654.xml"/><Relationship Id="rId823" Type="http://schemas.openxmlformats.org/officeDocument/2006/relationships/customXml" Target="../ink/ink819.xml"/><Relationship Id="rId255" Type="http://schemas.openxmlformats.org/officeDocument/2006/relationships/customXml" Target="../ink/ink251.xml"/><Relationship Id="rId297" Type="http://schemas.openxmlformats.org/officeDocument/2006/relationships/customXml" Target="../ink/ink293.xml"/><Relationship Id="rId462" Type="http://schemas.openxmlformats.org/officeDocument/2006/relationships/customXml" Target="../ink/ink458.xml"/><Relationship Id="rId518" Type="http://schemas.openxmlformats.org/officeDocument/2006/relationships/customXml" Target="../ink/ink514.xml"/><Relationship Id="rId725" Type="http://schemas.openxmlformats.org/officeDocument/2006/relationships/customXml" Target="../ink/ink721.xml"/><Relationship Id="rId115" Type="http://schemas.openxmlformats.org/officeDocument/2006/relationships/customXml" Target="../ink/ink111.xml"/><Relationship Id="rId157" Type="http://schemas.openxmlformats.org/officeDocument/2006/relationships/customXml" Target="../ink/ink153.xml"/><Relationship Id="rId322" Type="http://schemas.openxmlformats.org/officeDocument/2006/relationships/customXml" Target="../ink/ink318.xml"/><Relationship Id="rId364" Type="http://schemas.openxmlformats.org/officeDocument/2006/relationships/customXml" Target="../ink/ink360.xml"/><Relationship Id="rId767" Type="http://schemas.openxmlformats.org/officeDocument/2006/relationships/customXml" Target="../ink/ink763.xml"/><Relationship Id="rId61" Type="http://schemas.openxmlformats.org/officeDocument/2006/relationships/customXml" Target="../ink/ink57.xml"/><Relationship Id="rId199" Type="http://schemas.openxmlformats.org/officeDocument/2006/relationships/customXml" Target="../ink/ink195.xml"/><Relationship Id="rId571" Type="http://schemas.openxmlformats.org/officeDocument/2006/relationships/customXml" Target="../ink/ink567.xml"/><Relationship Id="rId627" Type="http://schemas.openxmlformats.org/officeDocument/2006/relationships/customXml" Target="../ink/ink623.xml"/><Relationship Id="rId669" Type="http://schemas.openxmlformats.org/officeDocument/2006/relationships/customXml" Target="../ink/ink665.xml"/><Relationship Id="rId834" Type="http://schemas.openxmlformats.org/officeDocument/2006/relationships/customXml" Target="../ink/ink830.xml"/><Relationship Id="rId19" Type="http://schemas.openxmlformats.org/officeDocument/2006/relationships/customXml" Target="../ink/ink15.xml"/><Relationship Id="rId224" Type="http://schemas.openxmlformats.org/officeDocument/2006/relationships/customXml" Target="../ink/ink220.xml"/><Relationship Id="rId266" Type="http://schemas.openxmlformats.org/officeDocument/2006/relationships/customXml" Target="../ink/ink262.xml"/><Relationship Id="rId431" Type="http://schemas.openxmlformats.org/officeDocument/2006/relationships/customXml" Target="../ink/ink427.xml"/><Relationship Id="rId473" Type="http://schemas.openxmlformats.org/officeDocument/2006/relationships/customXml" Target="../ink/ink469.xml"/><Relationship Id="rId529" Type="http://schemas.openxmlformats.org/officeDocument/2006/relationships/customXml" Target="../ink/ink525.xml"/><Relationship Id="rId680" Type="http://schemas.openxmlformats.org/officeDocument/2006/relationships/customXml" Target="../ink/ink676.xml"/><Relationship Id="rId736" Type="http://schemas.openxmlformats.org/officeDocument/2006/relationships/customXml" Target="../ink/ink732.xml"/><Relationship Id="rId30" Type="http://schemas.openxmlformats.org/officeDocument/2006/relationships/customXml" Target="../ink/ink26.xml"/><Relationship Id="rId126" Type="http://schemas.openxmlformats.org/officeDocument/2006/relationships/customXml" Target="../ink/ink122.xml"/><Relationship Id="rId168" Type="http://schemas.openxmlformats.org/officeDocument/2006/relationships/customXml" Target="../ink/ink164.xml"/><Relationship Id="rId333" Type="http://schemas.openxmlformats.org/officeDocument/2006/relationships/customXml" Target="../ink/ink329.xml"/><Relationship Id="rId540" Type="http://schemas.openxmlformats.org/officeDocument/2006/relationships/customXml" Target="../ink/ink536.xml"/><Relationship Id="rId778" Type="http://schemas.openxmlformats.org/officeDocument/2006/relationships/customXml" Target="../ink/ink774.xml"/><Relationship Id="rId72" Type="http://schemas.openxmlformats.org/officeDocument/2006/relationships/customXml" Target="../ink/ink68.xml"/><Relationship Id="rId375" Type="http://schemas.openxmlformats.org/officeDocument/2006/relationships/customXml" Target="../ink/ink371.xml"/><Relationship Id="rId582" Type="http://schemas.openxmlformats.org/officeDocument/2006/relationships/customXml" Target="../ink/ink578.xml"/><Relationship Id="rId638" Type="http://schemas.openxmlformats.org/officeDocument/2006/relationships/customXml" Target="../ink/ink634.xml"/><Relationship Id="rId803" Type="http://schemas.openxmlformats.org/officeDocument/2006/relationships/customXml" Target="../ink/ink799.xml"/><Relationship Id="rId845" Type="http://schemas.openxmlformats.org/officeDocument/2006/relationships/customXml" Target="../ink/ink841.xml"/><Relationship Id="rId3" Type="http://schemas.openxmlformats.org/officeDocument/2006/relationships/image" Target="../media/image24.png"/><Relationship Id="rId235" Type="http://schemas.openxmlformats.org/officeDocument/2006/relationships/customXml" Target="../ink/ink231.xml"/><Relationship Id="rId277" Type="http://schemas.openxmlformats.org/officeDocument/2006/relationships/customXml" Target="../ink/ink273.xml"/><Relationship Id="rId400" Type="http://schemas.openxmlformats.org/officeDocument/2006/relationships/customXml" Target="../ink/ink396.xml"/><Relationship Id="rId442" Type="http://schemas.openxmlformats.org/officeDocument/2006/relationships/customXml" Target="../ink/ink438.xml"/><Relationship Id="rId484" Type="http://schemas.openxmlformats.org/officeDocument/2006/relationships/customXml" Target="../ink/ink480.xml"/><Relationship Id="rId705" Type="http://schemas.openxmlformats.org/officeDocument/2006/relationships/customXml" Target="../ink/ink701.xml"/><Relationship Id="rId137" Type="http://schemas.openxmlformats.org/officeDocument/2006/relationships/customXml" Target="../ink/ink133.xml"/><Relationship Id="rId302" Type="http://schemas.openxmlformats.org/officeDocument/2006/relationships/customXml" Target="../ink/ink298.xml"/><Relationship Id="rId344" Type="http://schemas.openxmlformats.org/officeDocument/2006/relationships/customXml" Target="../ink/ink340.xml"/><Relationship Id="rId691" Type="http://schemas.openxmlformats.org/officeDocument/2006/relationships/customXml" Target="../ink/ink687.xml"/><Relationship Id="rId747" Type="http://schemas.openxmlformats.org/officeDocument/2006/relationships/customXml" Target="../ink/ink743.xml"/><Relationship Id="rId789" Type="http://schemas.openxmlformats.org/officeDocument/2006/relationships/customXml" Target="../ink/ink785.xml"/><Relationship Id="rId41" Type="http://schemas.openxmlformats.org/officeDocument/2006/relationships/customXml" Target="../ink/ink37.xml"/><Relationship Id="rId83" Type="http://schemas.openxmlformats.org/officeDocument/2006/relationships/customXml" Target="../ink/ink79.xml"/><Relationship Id="rId179" Type="http://schemas.openxmlformats.org/officeDocument/2006/relationships/customXml" Target="../ink/ink175.xml"/><Relationship Id="rId386" Type="http://schemas.openxmlformats.org/officeDocument/2006/relationships/customXml" Target="../ink/ink382.xml"/><Relationship Id="rId551" Type="http://schemas.openxmlformats.org/officeDocument/2006/relationships/customXml" Target="../ink/ink547.xml"/><Relationship Id="rId593" Type="http://schemas.openxmlformats.org/officeDocument/2006/relationships/customXml" Target="../ink/ink589.xml"/><Relationship Id="rId607" Type="http://schemas.openxmlformats.org/officeDocument/2006/relationships/customXml" Target="../ink/ink603.xml"/><Relationship Id="rId649" Type="http://schemas.openxmlformats.org/officeDocument/2006/relationships/customXml" Target="../ink/ink645.xml"/><Relationship Id="rId814" Type="http://schemas.openxmlformats.org/officeDocument/2006/relationships/customXml" Target="../ink/ink810.xml"/><Relationship Id="rId190" Type="http://schemas.openxmlformats.org/officeDocument/2006/relationships/customXml" Target="../ink/ink186.xml"/><Relationship Id="rId204" Type="http://schemas.openxmlformats.org/officeDocument/2006/relationships/customXml" Target="../ink/ink200.xml"/><Relationship Id="rId246" Type="http://schemas.openxmlformats.org/officeDocument/2006/relationships/customXml" Target="../ink/ink242.xml"/><Relationship Id="rId288" Type="http://schemas.openxmlformats.org/officeDocument/2006/relationships/customXml" Target="../ink/ink284.xml"/><Relationship Id="rId411" Type="http://schemas.openxmlformats.org/officeDocument/2006/relationships/customXml" Target="../ink/ink407.xml"/><Relationship Id="rId453" Type="http://schemas.openxmlformats.org/officeDocument/2006/relationships/customXml" Target="../ink/ink449.xml"/><Relationship Id="rId509" Type="http://schemas.openxmlformats.org/officeDocument/2006/relationships/customXml" Target="../ink/ink505.xml"/><Relationship Id="rId660" Type="http://schemas.openxmlformats.org/officeDocument/2006/relationships/customXml" Target="../ink/ink656.xml"/><Relationship Id="rId106" Type="http://schemas.openxmlformats.org/officeDocument/2006/relationships/customXml" Target="../ink/ink102.xml"/><Relationship Id="rId313" Type="http://schemas.openxmlformats.org/officeDocument/2006/relationships/customXml" Target="../ink/ink309.xml"/><Relationship Id="rId495" Type="http://schemas.openxmlformats.org/officeDocument/2006/relationships/customXml" Target="../ink/ink491.xml"/><Relationship Id="rId716" Type="http://schemas.openxmlformats.org/officeDocument/2006/relationships/customXml" Target="../ink/ink712.xml"/><Relationship Id="rId758" Type="http://schemas.openxmlformats.org/officeDocument/2006/relationships/customXml" Target="../ink/ink754.xml"/><Relationship Id="rId10" Type="http://schemas.openxmlformats.org/officeDocument/2006/relationships/customXml" Target="../ink/ink6.xml"/><Relationship Id="rId52" Type="http://schemas.openxmlformats.org/officeDocument/2006/relationships/customXml" Target="../ink/ink48.xml"/><Relationship Id="rId94" Type="http://schemas.openxmlformats.org/officeDocument/2006/relationships/customXml" Target="../ink/ink90.xml"/><Relationship Id="rId148" Type="http://schemas.openxmlformats.org/officeDocument/2006/relationships/customXml" Target="../ink/ink144.xml"/><Relationship Id="rId355" Type="http://schemas.openxmlformats.org/officeDocument/2006/relationships/customXml" Target="../ink/ink351.xml"/><Relationship Id="rId397" Type="http://schemas.openxmlformats.org/officeDocument/2006/relationships/customXml" Target="../ink/ink393.xml"/><Relationship Id="rId520" Type="http://schemas.openxmlformats.org/officeDocument/2006/relationships/customXml" Target="../ink/ink516.xml"/><Relationship Id="rId562" Type="http://schemas.openxmlformats.org/officeDocument/2006/relationships/customXml" Target="../ink/ink558.xml"/><Relationship Id="rId618" Type="http://schemas.openxmlformats.org/officeDocument/2006/relationships/customXml" Target="../ink/ink614.xml"/><Relationship Id="rId825" Type="http://schemas.openxmlformats.org/officeDocument/2006/relationships/customXml" Target="../ink/ink821.xml"/><Relationship Id="rId215" Type="http://schemas.openxmlformats.org/officeDocument/2006/relationships/customXml" Target="../ink/ink211.xml"/><Relationship Id="rId257" Type="http://schemas.openxmlformats.org/officeDocument/2006/relationships/customXml" Target="../ink/ink253.xml"/><Relationship Id="rId422" Type="http://schemas.openxmlformats.org/officeDocument/2006/relationships/customXml" Target="../ink/ink418.xml"/><Relationship Id="rId464" Type="http://schemas.openxmlformats.org/officeDocument/2006/relationships/customXml" Target="../ink/ink460.xml"/><Relationship Id="rId299" Type="http://schemas.openxmlformats.org/officeDocument/2006/relationships/customXml" Target="../ink/ink295.xml"/><Relationship Id="rId727" Type="http://schemas.openxmlformats.org/officeDocument/2006/relationships/customXml" Target="../ink/ink723.xml"/><Relationship Id="rId63" Type="http://schemas.openxmlformats.org/officeDocument/2006/relationships/customXml" Target="../ink/ink59.xml"/><Relationship Id="rId159" Type="http://schemas.openxmlformats.org/officeDocument/2006/relationships/customXml" Target="../ink/ink155.xml"/><Relationship Id="rId366" Type="http://schemas.openxmlformats.org/officeDocument/2006/relationships/customXml" Target="../ink/ink362.xml"/><Relationship Id="rId573" Type="http://schemas.openxmlformats.org/officeDocument/2006/relationships/customXml" Target="../ink/ink569.xml"/><Relationship Id="rId780" Type="http://schemas.openxmlformats.org/officeDocument/2006/relationships/customXml" Target="../ink/ink776.xml"/><Relationship Id="rId226" Type="http://schemas.openxmlformats.org/officeDocument/2006/relationships/customXml" Target="../ink/ink222.xml"/><Relationship Id="rId433" Type="http://schemas.openxmlformats.org/officeDocument/2006/relationships/customXml" Target="../ink/ink429.xml"/><Relationship Id="rId640" Type="http://schemas.openxmlformats.org/officeDocument/2006/relationships/customXml" Target="../ink/ink636.xml"/><Relationship Id="rId738" Type="http://schemas.openxmlformats.org/officeDocument/2006/relationships/customXml" Target="../ink/ink734.xml"/><Relationship Id="rId74" Type="http://schemas.openxmlformats.org/officeDocument/2006/relationships/customXml" Target="../ink/ink70.xml"/><Relationship Id="rId377" Type="http://schemas.openxmlformats.org/officeDocument/2006/relationships/customXml" Target="../ink/ink373.xml"/><Relationship Id="rId500" Type="http://schemas.openxmlformats.org/officeDocument/2006/relationships/customXml" Target="../ink/ink496.xml"/><Relationship Id="rId584" Type="http://schemas.openxmlformats.org/officeDocument/2006/relationships/customXml" Target="../ink/ink580.xml"/><Relationship Id="rId805" Type="http://schemas.openxmlformats.org/officeDocument/2006/relationships/customXml" Target="../ink/ink801.xml"/><Relationship Id="rId5" Type="http://schemas.openxmlformats.org/officeDocument/2006/relationships/image" Target="../media/image3.png"/><Relationship Id="rId237" Type="http://schemas.openxmlformats.org/officeDocument/2006/relationships/customXml" Target="../ink/ink233.xml"/><Relationship Id="rId791" Type="http://schemas.openxmlformats.org/officeDocument/2006/relationships/customXml" Target="../ink/ink787.xml"/><Relationship Id="rId444" Type="http://schemas.openxmlformats.org/officeDocument/2006/relationships/customXml" Target="../ink/ink440.xml"/><Relationship Id="rId651" Type="http://schemas.openxmlformats.org/officeDocument/2006/relationships/customXml" Target="../ink/ink647.xml"/><Relationship Id="rId749" Type="http://schemas.openxmlformats.org/officeDocument/2006/relationships/customXml" Target="../ink/ink745.xml"/><Relationship Id="rId290" Type="http://schemas.openxmlformats.org/officeDocument/2006/relationships/customXml" Target="../ink/ink286.xml"/><Relationship Id="rId304" Type="http://schemas.openxmlformats.org/officeDocument/2006/relationships/customXml" Target="../ink/ink300.xml"/><Relationship Id="rId388" Type="http://schemas.openxmlformats.org/officeDocument/2006/relationships/customXml" Target="../ink/ink384.xml"/><Relationship Id="rId511" Type="http://schemas.openxmlformats.org/officeDocument/2006/relationships/customXml" Target="../ink/ink507.xml"/><Relationship Id="rId609" Type="http://schemas.openxmlformats.org/officeDocument/2006/relationships/customXml" Target="../ink/ink605.xml"/><Relationship Id="rId85" Type="http://schemas.openxmlformats.org/officeDocument/2006/relationships/customXml" Target="../ink/ink81.xml"/><Relationship Id="rId150" Type="http://schemas.openxmlformats.org/officeDocument/2006/relationships/customXml" Target="../ink/ink146.xml"/><Relationship Id="rId595" Type="http://schemas.openxmlformats.org/officeDocument/2006/relationships/customXml" Target="../ink/ink591.xml"/><Relationship Id="rId816" Type="http://schemas.openxmlformats.org/officeDocument/2006/relationships/customXml" Target="../ink/ink812.xml"/><Relationship Id="rId248" Type="http://schemas.openxmlformats.org/officeDocument/2006/relationships/customXml" Target="../ink/ink244.xml"/><Relationship Id="rId455" Type="http://schemas.openxmlformats.org/officeDocument/2006/relationships/customXml" Target="../ink/ink451.xml"/><Relationship Id="rId662" Type="http://schemas.openxmlformats.org/officeDocument/2006/relationships/customXml" Target="../ink/ink658.xml"/><Relationship Id="rId12" Type="http://schemas.openxmlformats.org/officeDocument/2006/relationships/customXml" Target="../ink/ink8.xml"/><Relationship Id="rId108" Type="http://schemas.openxmlformats.org/officeDocument/2006/relationships/customXml" Target="../ink/ink104.xml"/><Relationship Id="rId315" Type="http://schemas.openxmlformats.org/officeDocument/2006/relationships/customXml" Target="../ink/ink311.xml"/><Relationship Id="rId522" Type="http://schemas.openxmlformats.org/officeDocument/2006/relationships/customXml" Target="../ink/ink518.xml"/><Relationship Id="rId96" Type="http://schemas.openxmlformats.org/officeDocument/2006/relationships/customXml" Target="../ink/ink92.xml"/><Relationship Id="rId161" Type="http://schemas.openxmlformats.org/officeDocument/2006/relationships/customXml" Target="../ink/ink157.xml"/><Relationship Id="rId399" Type="http://schemas.openxmlformats.org/officeDocument/2006/relationships/customXml" Target="../ink/ink395.xml"/><Relationship Id="rId827" Type="http://schemas.openxmlformats.org/officeDocument/2006/relationships/customXml" Target="../ink/ink823.xml"/><Relationship Id="rId259" Type="http://schemas.openxmlformats.org/officeDocument/2006/relationships/customXml" Target="../ink/ink255.xml"/><Relationship Id="rId466" Type="http://schemas.openxmlformats.org/officeDocument/2006/relationships/customXml" Target="../ink/ink462.xml"/><Relationship Id="rId673" Type="http://schemas.openxmlformats.org/officeDocument/2006/relationships/customXml" Target="../ink/ink669.xml"/><Relationship Id="rId23" Type="http://schemas.openxmlformats.org/officeDocument/2006/relationships/customXml" Target="../ink/ink19.xml"/><Relationship Id="rId119" Type="http://schemas.openxmlformats.org/officeDocument/2006/relationships/customXml" Target="../ink/ink115.xml"/><Relationship Id="rId326" Type="http://schemas.openxmlformats.org/officeDocument/2006/relationships/customXml" Target="../ink/ink322.xml"/><Relationship Id="rId533" Type="http://schemas.openxmlformats.org/officeDocument/2006/relationships/customXml" Target="../ink/ink529.xml"/><Relationship Id="rId740" Type="http://schemas.openxmlformats.org/officeDocument/2006/relationships/customXml" Target="../ink/ink736.xml"/><Relationship Id="rId838" Type="http://schemas.openxmlformats.org/officeDocument/2006/relationships/customXml" Target="../ink/ink834.xml"/><Relationship Id="rId172" Type="http://schemas.openxmlformats.org/officeDocument/2006/relationships/customXml" Target="../ink/ink168.xml"/><Relationship Id="rId477" Type="http://schemas.openxmlformats.org/officeDocument/2006/relationships/customXml" Target="../ink/ink473.xml"/><Relationship Id="rId600" Type="http://schemas.openxmlformats.org/officeDocument/2006/relationships/customXml" Target="../ink/ink596.xml"/><Relationship Id="rId684" Type="http://schemas.openxmlformats.org/officeDocument/2006/relationships/customXml" Target="../ink/ink680.xml"/><Relationship Id="rId337" Type="http://schemas.openxmlformats.org/officeDocument/2006/relationships/customXml" Target="../ink/ink333.xml"/><Relationship Id="rId34" Type="http://schemas.openxmlformats.org/officeDocument/2006/relationships/customXml" Target="../ink/ink30.xml"/><Relationship Id="rId544" Type="http://schemas.openxmlformats.org/officeDocument/2006/relationships/customXml" Target="../ink/ink540.xml"/><Relationship Id="rId751" Type="http://schemas.openxmlformats.org/officeDocument/2006/relationships/customXml" Target="../ink/ink747.xml"/><Relationship Id="rId183" Type="http://schemas.openxmlformats.org/officeDocument/2006/relationships/customXml" Target="../ink/ink179.xml"/><Relationship Id="rId390" Type="http://schemas.openxmlformats.org/officeDocument/2006/relationships/customXml" Target="../ink/ink386.xml"/><Relationship Id="rId404" Type="http://schemas.openxmlformats.org/officeDocument/2006/relationships/customXml" Target="../ink/ink400.xml"/><Relationship Id="rId611" Type="http://schemas.openxmlformats.org/officeDocument/2006/relationships/customXml" Target="../ink/ink607.xml"/><Relationship Id="rId250" Type="http://schemas.openxmlformats.org/officeDocument/2006/relationships/customXml" Target="../ink/ink246.xml"/><Relationship Id="rId488" Type="http://schemas.openxmlformats.org/officeDocument/2006/relationships/customXml" Target="../ink/ink484.xml"/><Relationship Id="rId695" Type="http://schemas.openxmlformats.org/officeDocument/2006/relationships/customXml" Target="../ink/ink691.xml"/><Relationship Id="rId709" Type="http://schemas.openxmlformats.org/officeDocument/2006/relationships/customXml" Target="../ink/ink705.xml"/><Relationship Id="rId45" Type="http://schemas.openxmlformats.org/officeDocument/2006/relationships/customXml" Target="../ink/ink41.xml"/><Relationship Id="rId110" Type="http://schemas.openxmlformats.org/officeDocument/2006/relationships/customXml" Target="../ink/ink106.xml"/><Relationship Id="rId348" Type="http://schemas.openxmlformats.org/officeDocument/2006/relationships/customXml" Target="../ink/ink344.xml"/><Relationship Id="rId555" Type="http://schemas.openxmlformats.org/officeDocument/2006/relationships/customXml" Target="../ink/ink551.xml"/><Relationship Id="rId762" Type="http://schemas.openxmlformats.org/officeDocument/2006/relationships/customXml" Target="../ink/ink758.xml"/><Relationship Id="rId194" Type="http://schemas.openxmlformats.org/officeDocument/2006/relationships/customXml" Target="../ink/ink190.xml"/><Relationship Id="rId208" Type="http://schemas.openxmlformats.org/officeDocument/2006/relationships/customXml" Target="../ink/ink204.xml"/><Relationship Id="rId415" Type="http://schemas.openxmlformats.org/officeDocument/2006/relationships/customXml" Target="../ink/ink411.xml"/><Relationship Id="rId622" Type="http://schemas.openxmlformats.org/officeDocument/2006/relationships/customXml" Target="../ink/ink618.xml"/><Relationship Id="rId261" Type="http://schemas.openxmlformats.org/officeDocument/2006/relationships/customXml" Target="../ink/ink257.xml"/><Relationship Id="rId499" Type="http://schemas.openxmlformats.org/officeDocument/2006/relationships/customXml" Target="../ink/ink495.xml"/><Relationship Id="rId56" Type="http://schemas.openxmlformats.org/officeDocument/2006/relationships/customXml" Target="../ink/ink52.xml"/><Relationship Id="rId359" Type="http://schemas.openxmlformats.org/officeDocument/2006/relationships/customXml" Target="../ink/ink355.xml"/><Relationship Id="rId566" Type="http://schemas.openxmlformats.org/officeDocument/2006/relationships/customXml" Target="../ink/ink562.xml"/><Relationship Id="rId773" Type="http://schemas.openxmlformats.org/officeDocument/2006/relationships/customXml" Target="../ink/ink769.xml"/><Relationship Id="rId121" Type="http://schemas.openxmlformats.org/officeDocument/2006/relationships/customXml" Target="../ink/ink117.xml"/><Relationship Id="rId219" Type="http://schemas.openxmlformats.org/officeDocument/2006/relationships/customXml" Target="../ink/ink215.xml"/><Relationship Id="rId426" Type="http://schemas.openxmlformats.org/officeDocument/2006/relationships/customXml" Target="../ink/ink422.xml"/><Relationship Id="rId633" Type="http://schemas.openxmlformats.org/officeDocument/2006/relationships/customXml" Target="../ink/ink629.xml"/><Relationship Id="rId840" Type="http://schemas.openxmlformats.org/officeDocument/2006/relationships/customXml" Target="../ink/ink836.xml"/><Relationship Id="rId67" Type="http://schemas.openxmlformats.org/officeDocument/2006/relationships/customXml" Target="../ink/ink63.xml"/><Relationship Id="rId272" Type="http://schemas.openxmlformats.org/officeDocument/2006/relationships/customXml" Target="../ink/ink268.xml"/><Relationship Id="rId577" Type="http://schemas.openxmlformats.org/officeDocument/2006/relationships/customXml" Target="../ink/ink573.xml"/><Relationship Id="rId700" Type="http://schemas.openxmlformats.org/officeDocument/2006/relationships/customXml" Target="../ink/ink696.xml"/><Relationship Id="rId132" Type="http://schemas.openxmlformats.org/officeDocument/2006/relationships/customXml" Target="../ink/ink128.xml"/><Relationship Id="rId784" Type="http://schemas.openxmlformats.org/officeDocument/2006/relationships/customXml" Target="../ink/ink780.xml"/><Relationship Id="rId437" Type="http://schemas.openxmlformats.org/officeDocument/2006/relationships/customXml" Target="../ink/ink433.xml"/><Relationship Id="rId644" Type="http://schemas.openxmlformats.org/officeDocument/2006/relationships/customXml" Target="../ink/ink640.xml"/><Relationship Id="rId283" Type="http://schemas.openxmlformats.org/officeDocument/2006/relationships/customXml" Target="../ink/ink279.xml"/><Relationship Id="rId490" Type="http://schemas.openxmlformats.org/officeDocument/2006/relationships/customXml" Target="../ink/ink486.xml"/><Relationship Id="rId504" Type="http://schemas.openxmlformats.org/officeDocument/2006/relationships/customXml" Target="../ink/ink500.xml"/><Relationship Id="rId711" Type="http://schemas.openxmlformats.org/officeDocument/2006/relationships/customXml" Target="../ink/ink707.xml"/><Relationship Id="rId78" Type="http://schemas.openxmlformats.org/officeDocument/2006/relationships/customXml" Target="../ink/ink74.xml"/><Relationship Id="rId143" Type="http://schemas.openxmlformats.org/officeDocument/2006/relationships/customXml" Target="../ink/ink139.xml"/><Relationship Id="rId350" Type="http://schemas.openxmlformats.org/officeDocument/2006/relationships/customXml" Target="../ink/ink346.xml"/><Relationship Id="rId588" Type="http://schemas.openxmlformats.org/officeDocument/2006/relationships/customXml" Target="../ink/ink584.xml"/><Relationship Id="rId795" Type="http://schemas.openxmlformats.org/officeDocument/2006/relationships/customXml" Target="../ink/ink791.xml"/><Relationship Id="rId809" Type="http://schemas.openxmlformats.org/officeDocument/2006/relationships/customXml" Target="../ink/ink805.xml"/><Relationship Id="rId9" Type="http://schemas.openxmlformats.org/officeDocument/2006/relationships/customXml" Target="../ink/ink5.xml"/><Relationship Id="rId210" Type="http://schemas.openxmlformats.org/officeDocument/2006/relationships/customXml" Target="../ink/ink206.xml"/><Relationship Id="rId448" Type="http://schemas.openxmlformats.org/officeDocument/2006/relationships/customXml" Target="../ink/ink444.xml"/><Relationship Id="rId655" Type="http://schemas.openxmlformats.org/officeDocument/2006/relationships/customXml" Target="../ink/ink651.xml"/><Relationship Id="rId294" Type="http://schemas.openxmlformats.org/officeDocument/2006/relationships/customXml" Target="../ink/ink290.xml"/><Relationship Id="rId308" Type="http://schemas.openxmlformats.org/officeDocument/2006/relationships/customXml" Target="../ink/ink304.xml"/><Relationship Id="rId515" Type="http://schemas.openxmlformats.org/officeDocument/2006/relationships/customXml" Target="../ink/ink511.xml"/><Relationship Id="rId722" Type="http://schemas.openxmlformats.org/officeDocument/2006/relationships/customXml" Target="../ink/ink718.xml"/><Relationship Id="rId89" Type="http://schemas.openxmlformats.org/officeDocument/2006/relationships/customXml" Target="../ink/ink85.xml"/><Relationship Id="rId154" Type="http://schemas.openxmlformats.org/officeDocument/2006/relationships/customXml" Target="../ink/ink150.xml"/><Relationship Id="rId361" Type="http://schemas.openxmlformats.org/officeDocument/2006/relationships/customXml" Target="../ink/ink357.xml"/><Relationship Id="rId599" Type="http://schemas.openxmlformats.org/officeDocument/2006/relationships/customXml" Target="../ink/ink595.xml"/><Relationship Id="rId459" Type="http://schemas.openxmlformats.org/officeDocument/2006/relationships/customXml" Target="../ink/ink455.xml"/><Relationship Id="rId666" Type="http://schemas.openxmlformats.org/officeDocument/2006/relationships/customXml" Target="../ink/ink662.xml"/><Relationship Id="rId16" Type="http://schemas.openxmlformats.org/officeDocument/2006/relationships/customXml" Target="../ink/ink12.xml"/><Relationship Id="rId221" Type="http://schemas.openxmlformats.org/officeDocument/2006/relationships/customXml" Target="../ink/ink217.xml"/><Relationship Id="rId319" Type="http://schemas.openxmlformats.org/officeDocument/2006/relationships/customXml" Target="../ink/ink315.xml"/><Relationship Id="rId526" Type="http://schemas.openxmlformats.org/officeDocument/2006/relationships/customXml" Target="../ink/ink522.xml"/><Relationship Id="rId733" Type="http://schemas.openxmlformats.org/officeDocument/2006/relationships/customXml" Target="../ink/ink729.xml"/><Relationship Id="rId165" Type="http://schemas.openxmlformats.org/officeDocument/2006/relationships/customXml" Target="../ink/ink161.xml"/><Relationship Id="rId372" Type="http://schemas.openxmlformats.org/officeDocument/2006/relationships/customXml" Target="../ink/ink368.xml"/><Relationship Id="rId677" Type="http://schemas.openxmlformats.org/officeDocument/2006/relationships/customXml" Target="../ink/ink673.xml"/><Relationship Id="rId800" Type="http://schemas.openxmlformats.org/officeDocument/2006/relationships/customXml" Target="../ink/ink796.xml"/><Relationship Id="rId232" Type="http://schemas.openxmlformats.org/officeDocument/2006/relationships/customXml" Target="../ink/ink228.xml"/><Relationship Id="rId27" Type="http://schemas.openxmlformats.org/officeDocument/2006/relationships/customXml" Target="../ink/ink23.xml"/><Relationship Id="rId537" Type="http://schemas.openxmlformats.org/officeDocument/2006/relationships/customXml" Target="../ink/ink533.xml"/><Relationship Id="rId744" Type="http://schemas.openxmlformats.org/officeDocument/2006/relationships/customXml" Target="../ink/ink740.xml"/><Relationship Id="rId80" Type="http://schemas.openxmlformats.org/officeDocument/2006/relationships/customXml" Target="../ink/ink76.xml"/><Relationship Id="rId176" Type="http://schemas.openxmlformats.org/officeDocument/2006/relationships/customXml" Target="../ink/ink172.xml"/><Relationship Id="rId383" Type="http://schemas.openxmlformats.org/officeDocument/2006/relationships/customXml" Target="../ink/ink379.xml"/><Relationship Id="rId590" Type="http://schemas.openxmlformats.org/officeDocument/2006/relationships/customXml" Target="../ink/ink586.xml"/><Relationship Id="rId604" Type="http://schemas.openxmlformats.org/officeDocument/2006/relationships/customXml" Target="../ink/ink600.xml"/><Relationship Id="rId811" Type="http://schemas.openxmlformats.org/officeDocument/2006/relationships/customXml" Target="../ink/ink807.xml"/><Relationship Id="rId243" Type="http://schemas.openxmlformats.org/officeDocument/2006/relationships/customXml" Target="../ink/ink239.xml"/><Relationship Id="rId450" Type="http://schemas.openxmlformats.org/officeDocument/2006/relationships/customXml" Target="../ink/ink446.xml"/><Relationship Id="rId688" Type="http://schemas.openxmlformats.org/officeDocument/2006/relationships/customXml" Target="../ink/ink684.xml"/><Relationship Id="rId38" Type="http://schemas.openxmlformats.org/officeDocument/2006/relationships/customXml" Target="../ink/ink34.xml"/><Relationship Id="rId103" Type="http://schemas.openxmlformats.org/officeDocument/2006/relationships/customXml" Target="../ink/ink99.xml"/><Relationship Id="rId310" Type="http://schemas.openxmlformats.org/officeDocument/2006/relationships/customXml" Target="../ink/ink306.xml"/><Relationship Id="rId548" Type="http://schemas.openxmlformats.org/officeDocument/2006/relationships/customXml" Target="../ink/ink544.xml"/><Relationship Id="rId755" Type="http://schemas.openxmlformats.org/officeDocument/2006/relationships/customXml" Target="../ink/ink751.xml"/><Relationship Id="rId91" Type="http://schemas.openxmlformats.org/officeDocument/2006/relationships/customXml" Target="../ink/ink87.xml"/><Relationship Id="rId187" Type="http://schemas.openxmlformats.org/officeDocument/2006/relationships/customXml" Target="../ink/ink183.xml"/><Relationship Id="rId394" Type="http://schemas.openxmlformats.org/officeDocument/2006/relationships/customXml" Target="../ink/ink390.xml"/><Relationship Id="rId408" Type="http://schemas.openxmlformats.org/officeDocument/2006/relationships/customXml" Target="../ink/ink404.xml"/><Relationship Id="rId615" Type="http://schemas.openxmlformats.org/officeDocument/2006/relationships/customXml" Target="../ink/ink611.xml"/><Relationship Id="rId822" Type="http://schemas.openxmlformats.org/officeDocument/2006/relationships/customXml" Target="../ink/ink818.xml"/><Relationship Id="rId254" Type="http://schemas.openxmlformats.org/officeDocument/2006/relationships/customXml" Target="../ink/ink250.xml"/><Relationship Id="rId699" Type="http://schemas.openxmlformats.org/officeDocument/2006/relationships/customXml" Target="../ink/ink695.xml"/><Relationship Id="rId49" Type="http://schemas.openxmlformats.org/officeDocument/2006/relationships/customXml" Target="../ink/ink45.xml"/><Relationship Id="rId114" Type="http://schemas.openxmlformats.org/officeDocument/2006/relationships/customXml" Target="../ink/ink110.xml"/><Relationship Id="rId461" Type="http://schemas.openxmlformats.org/officeDocument/2006/relationships/customXml" Target="../ink/ink457.xml"/><Relationship Id="rId559" Type="http://schemas.openxmlformats.org/officeDocument/2006/relationships/customXml" Target="../ink/ink555.xml"/><Relationship Id="rId766" Type="http://schemas.openxmlformats.org/officeDocument/2006/relationships/customXml" Target="../ink/ink762.xml"/><Relationship Id="rId198" Type="http://schemas.openxmlformats.org/officeDocument/2006/relationships/customXml" Target="../ink/ink194.xml"/><Relationship Id="rId321" Type="http://schemas.openxmlformats.org/officeDocument/2006/relationships/customXml" Target="../ink/ink317.xml"/><Relationship Id="rId419" Type="http://schemas.openxmlformats.org/officeDocument/2006/relationships/customXml" Target="../ink/ink415.xml"/><Relationship Id="rId626" Type="http://schemas.openxmlformats.org/officeDocument/2006/relationships/customXml" Target="../ink/ink622.xml"/><Relationship Id="rId833" Type="http://schemas.openxmlformats.org/officeDocument/2006/relationships/customXml" Target="../ink/ink829.xml"/><Relationship Id="rId265" Type="http://schemas.openxmlformats.org/officeDocument/2006/relationships/customXml" Target="../ink/ink261.xml"/><Relationship Id="rId472" Type="http://schemas.openxmlformats.org/officeDocument/2006/relationships/customXml" Target="../ink/ink468.xml"/><Relationship Id="rId125" Type="http://schemas.openxmlformats.org/officeDocument/2006/relationships/customXml" Target="../ink/ink121.xml"/><Relationship Id="rId332" Type="http://schemas.openxmlformats.org/officeDocument/2006/relationships/customXml" Target="../ink/ink328.xml"/><Relationship Id="rId777" Type="http://schemas.openxmlformats.org/officeDocument/2006/relationships/customXml" Target="../ink/ink773.xml"/><Relationship Id="rId637" Type="http://schemas.openxmlformats.org/officeDocument/2006/relationships/customXml" Target="../ink/ink633.xml"/><Relationship Id="rId844" Type="http://schemas.openxmlformats.org/officeDocument/2006/relationships/customXml" Target="../ink/ink840.xml"/><Relationship Id="rId276" Type="http://schemas.openxmlformats.org/officeDocument/2006/relationships/customXml" Target="../ink/ink272.xml"/><Relationship Id="rId483" Type="http://schemas.openxmlformats.org/officeDocument/2006/relationships/customXml" Target="../ink/ink479.xml"/><Relationship Id="rId690" Type="http://schemas.openxmlformats.org/officeDocument/2006/relationships/customXml" Target="../ink/ink686.xml"/><Relationship Id="rId704" Type="http://schemas.openxmlformats.org/officeDocument/2006/relationships/customXml" Target="../ink/ink700.xml"/><Relationship Id="rId40" Type="http://schemas.openxmlformats.org/officeDocument/2006/relationships/customXml" Target="../ink/ink36.xml"/><Relationship Id="rId136" Type="http://schemas.openxmlformats.org/officeDocument/2006/relationships/customXml" Target="../ink/ink132.xml"/><Relationship Id="rId343" Type="http://schemas.openxmlformats.org/officeDocument/2006/relationships/customXml" Target="../ink/ink339.xml"/><Relationship Id="rId550" Type="http://schemas.openxmlformats.org/officeDocument/2006/relationships/customXml" Target="../ink/ink546.xml"/><Relationship Id="rId788" Type="http://schemas.openxmlformats.org/officeDocument/2006/relationships/customXml" Target="../ink/ink784.xml"/><Relationship Id="rId203" Type="http://schemas.openxmlformats.org/officeDocument/2006/relationships/customXml" Target="../ink/ink199.xml"/><Relationship Id="rId648" Type="http://schemas.openxmlformats.org/officeDocument/2006/relationships/customXml" Target="../ink/ink644.xml"/><Relationship Id="rId287" Type="http://schemas.openxmlformats.org/officeDocument/2006/relationships/customXml" Target="../ink/ink283.xml"/><Relationship Id="rId410" Type="http://schemas.openxmlformats.org/officeDocument/2006/relationships/customXml" Target="../ink/ink406.xml"/><Relationship Id="rId494" Type="http://schemas.openxmlformats.org/officeDocument/2006/relationships/customXml" Target="../ink/ink490.xml"/><Relationship Id="rId508" Type="http://schemas.openxmlformats.org/officeDocument/2006/relationships/customXml" Target="../ink/ink504.xml"/><Relationship Id="rId715" Type="http://schemas.openxmlformats.org/officeDocument/2006/relationships/customXml" Target="../ink/ink711.xml"/><Relationship Id="rId147" Type="http://schemas.openxmlformats.org/officeDocument/2006/relationships/customXml" Target="../ink/ink143.xml"/><Relationship Id="rId354" Type="http://schemas.openxmlformats.org/officeDocument/2006/relationships/customXml" Target="../ink/ink350.xml"/><Relationship Id="rId799" Type="http://schemas.openxmlformats.org/officeDocument/2006/relationships/customXml" Target="../ink/ink795.xml"/><Relationship Id="rId51" Type="http://schemas.openxmlformats.org/officeDocument/2006/relationships/customXml" Target="../ink/ink47.xml"/><Relationship Id="rId561" Type="http://schemas.openxmlformats.org/officeDocument/2006/relationships/customXml" Target="../ink/ink557.xml"/><Relationship Id="rId659" Type="http://schemas.openxmlformats.org/officeDocument/2006/relationships/customXml" Target="../ink/ink655.xml"/><Relationship Id="rId214" Type="http://schemas.openxmlformats.org/officeDocument/2006/relationships/customXml" Target="../ink/ink210.xml"/><Relationship Id="rId298" Type="http://schemas.openxmlformats.org/officeDocument/2006/relationships/customXml" Target="../ink/ink294.xml"/><Relationship Id="rId421" Type="http://schemas.openxmlformats.org/officeDocument/2006/relationships/customXml" Target="../ink/ink417.xml"/><Relationship Id="rId519" Type="http://schemas.openxmlformats.org/officeDocument/2006/relationships/customXml" Target="../ink/ink515.xml"/><Relationship Id="rId158" Type="http://schemas.openxmlformats.org/officeDocument/2006/relationships/customXml" Target="../ink/ink154.xml"/><Relationship Id="rId726" Type="http://schemas.openxmlformats.org/officeDocument/2006/relationships/customXml" Target="../ink/ink722.xml"/><Relationship Id="rId62" Type="http://schemas.openxmlformats.org/officeDocument/2006/relationships/customXml" Target="../ink/ink58.xml"/><Relationship Id="rId365" Type="http://schemas.openxmlformats.org/officeDocument/2006/relationships/customXml" Target="../ink/ink361.xml"/><Relationship Id="rId572" Type="http://schemas.openxmlformats.org/officeDocument/2006/relationships/customXml" Target="../ink/ink568.xml"/><Relationship Id="rId225" Type="http://schemas.openxmlformats.org/officeDocument/2006/relationships/customXml" Target="../ink/ink221.xml"/><Relationship Id="rId432" Type="http://schemas.openxmlformats.org/officeDocument/2006/relationships/customXml" Target="../ink/ink428.xml"/><Relationship Id="rId737" Type="http://schemas.openxmlformats.org/officeDocument/2006/relationships/customXml" Target="../ink/ink733.xml"/><Relationship Id="rId73" Type="http://schemas.openxmlformats.org/officeDocument/2006/relationships/customXml" Target="../ink/ink69.xml"/><Relationship Id="rId169" Type="http://schemas.openxmlformats.org/officeDocument/2006/relationships/customXml" Target="../ink/ink165.xml"/><Relationship Id="rId376" Type="http://schemas.openxmlformats.org/officeDocument/2006/relationships/customXml" Target="../ink/ink372.xml"/><Relationship Id="rId583" Type="http://schemas.openxmlformats.org/officeDocument/2006/relationships/customXml" Target="../ink/ink579.xml"/><Relationship Id="rId790" Type="http://schemas.openxmlformats.org/officeDocument/2006/relationships/customXml" Target="../ink/ink786.xml"/><Relationship Id="rId804" Type="http://schemas.openxmlformats.org/officeDocument/2006/relationships/customXml" Target="../ink/ink800.xml"/><Relationship Id="rId4" Type="http://schemas.openxmlformats.org/officeDocument/2006/relationships/customXml" Target="../ink/ink2.xml"/><Relationship Id="rId236" Type="http://schemas.openxmlformats.org/officeDocument/2006/relationships/customXml" Target="../ink/ink232.xml"/><Relationship Id="rId443" Type="http://schemas.openxmlformats.org/officeDocument/2006/relationships/customXml" Target="../ink/ink439.xml"/><Relationship Id="rId650" Type="http://schemas.openxmlformats.org/officeDocument/2006/relationships/customXml" Target="../ink/ink646.xml"/><Relationship Id="rId303" Type="http://schemas.openxmlformats.org/officeDocument/2006/relationships/customXml" Target="../ink/ink299.xml"/><Relationship Id="rId748" Type="http://schemas.openxmlformats.org/officeDocument/2006/relationships/customXml" Target="../ink/ink744.xml"/><Relationship Id="rId84" Type="http://schemas.openxmlformats.org/officeDocument/2006/relationships/customXml" Target="../ink/ink80.xml"/><Relationship Id="rId387" Type="http://schemas.openxmlformats.org/officeDocument/2006/relationships/customXml" Target="../ink/ink383.xml"/><Relationship Id="rId510" Type="http://schemas.openxmlformats.org/officeDocument/2006/relationships/customXml" Target="../ink/ink506.xml"/><Relationship Id="rId594" Type="http://schemas.openxmlformats.org/officeDocument/2006/relationships/customXml" Target="../ink/ink590.xml"/><Relationship Id="rId608" Type="http://schemas.openxmlformats.org/officeDocument/2006/relationships/customXml" Target="../ink/ink604.xml"/><Relationship Id="rId815" Type="http://schemas.openxmlformats.org/officeDocument/2006/relationships/customXml" Target="../ink/ink811.xml"/><Relationship Id="rId247" Type="http://schemas.openxmlformats.org/officeDocument/2006/relationships/customXml" Target="../ink/ink243.xml"/><Relationship Id="rId107" Type="http://schemas.openxmlformats.org/officeDocument/2006/relationships/customXml" Target="../ink/ink103.xml"/><Relationship Id="rId454" Type="http://schemas.openxmlformats.org/officeDocument/2006/relationships/customXml" Target="../ink/ink450.xml"/><Relationship Id="rId661" Type="http://schemas.openxmlformats.org/officeDocument/2006/relationships/customXml" Target="../ink/ink657.xml"/><Relationship Id="rId759" Type="http://schemas.openxmlformats.org/officeDocument/2006/relationships/customXml" Target="../ink/ink755.xml"/><Relationship Id="rId11" Type="http://schemas.openxmlformats.org/officeDocument/2006/relationships/customXml" Target="../ink/ink7.xml"/><Relationship Id="rId314" Type="http://schemas.openxmlformats.org/officeDocument/2006/relationships/customXml" Target="../ink/ink310.xml"/><Relationship Id="rId398" Type="http://schemas.openxmlformats.org/officeDocument/2006/relationships/customXml" Target="../ink/ink394.xml"/><Relationship Id="rId521" Type="http://schemas.openxmlformats.org/officeDocument/2006/relationships/customXml" Target="../ink/ink517.xml"/><Relationship Id="rId619" Type="http://schemas.openxmlformats.org/officeDocument/2006/relationships/customXml" Target="../ink/ink615.xml"/><Relationship Id="rId95" Type="http://schemas.openxmlformats.org/officeDocument/2006/relationships/customXml" Target="../ink/ink91.xml"/><Relationship Id="rId160" Type="http://schemas.openxmlformats.org/officeDocument/2006/relationships/customXml" Target="../ink/ink156.xml"/><Relationship Id="rId826" Type="http://schemas.openxmlformats.org/officeDocument/2006/relationships/customXml" Target="../ink/ink822.xml"/><Relationship Id="rId258" Type="http://schemas.openxmlformats.org/officeDocument/2006/relationships/customXml" Target="../ink/ink254.xml"/><Relationship Id="rId465" Type="http://schemas.openxmlformats.org/officeDocument/2006/relationships/customXml" Target="../ink/ink461.xml"/><Relationship Id="rId672" Type="http://schemas.openxmlformats.org/officeDocument/2006/relationships/customXml" Target="../ink/ink668.xml"/><Relationship Id="rId22" Type="http://schemas.openxmlformats.org/officeDocument/2006/relationships/customXml" Target="../ink/ink18.xml"/><Relationship Id="rId118" Type="http://schemas.openxmlformats.org/officeDocument/2006/relationships/customXml" Target="../ink/ink114.xml"/><Relationship Id="rId325" Type="http://schemas.openxmlformats.org/officeDocument/2006/relationships/customXml" Target="../ink/ink321.xml"/><Relationship Id="rId532" Type="http://schemas.openxmlformats.org/officeDocument/2006/relationships/customXml" Target="../ink/ink528.xml"/><Relationship Id="rId171" Type="http://schemas.openxmlformats.org/officeDocument/2006/relationships/customXml" Target="../ink/ink167.xml"/><Relationship Id="rId837" Type="http://schemas.openxmlformats.org/officeDocument/2006/relationships/customXml" Target="../ink/ink833.xml"/><Relationship Id="rId269" Type="http://schemas.openxmlformats.org/officeDocument/2006/relationships/customXml" Target="../ink/ink265.xml"/><Relationship Id="rId476" Type="http://schemas.openxmlformats.org/officeDocument/2006/relationships/customXml" Target="../ink/ink472.xml"/><Relationship Id="rId683" Type="http://schemas.openxmlformats.org/officeDocument/2006/relationships/customXml" Target="../ink/ink679.xml"/><Relationship Id="rId33" Type="http://schemas.openxmlformats.org/officeDocument/2006/relationships/customXml" Target="../ink/ink29.xml"/><Relationship Id="rId129" Type="http://schemas.openxmlformats.org/officeDocument/2006/relationships/customXml" Target="../ink/ink125.xml"/><Relationship Id="rId336" Type="http://schemas.openxmlformats.org/officeDocument/2006/relationships/customXml" Target="../ink/ink332.xml"/><Relationship Id="rId543" Type="http://schemas.openxmlformats.org/officeDocument/2006/relationships/customXml" Target="../ink/ink539.xml"/><Relationship Id="rId182" Type="http://schemas.openxmlformats.org/officeDocument/2006/relationships/customXml" Target="../ink/ink178.xml"/><Relationship Id="rId403" Type="http://schemas.openxmlformats.org/officeDocument/2006/relationships/customXml" Target="../ink/ink399.xml"/><Relationship Id="rId750" Type="http://schemas.openxmlformats.org/officeDocument/2006/relationships/customXml" Target="../ink/ink746.xml"/><Relationship Id="rId848" Type="http://schemas.openxmlformats.org/officeDocument/2006/relationships/customXml" Target="../ink/ink844.xml"/><Relationship Id="rId487" Type="http://schemas.openxmlformats.org/officeDocument/2006/relationships/customXml" Target="../ink/ink483.xml"/><Relationship Id="rId610" Type="http://schemas.openxmlformats.org/officeDocument/2006/relationships/customXml" Target="../ink/ink606.xml"/><Relationship Id="rId694" Type="http://schemas.openxmlformats.org/officeDocument/2006/relationships/customXml" Target="../ink/ink690.xml"/><Relationship Id="rId708" Type="http://schemas.openxmlformats.org/officeDocument/2006/relationships/customXml" Target="../ink/ink704.xml"/><Relationship Id="rId347" Type="http://schemas.openxmlformats.org/officeDocument/2006/relationships/customXml" Target="../ink/ink343.xml"/><Relationship Id="rId44" Type="http://schemas.openxmlformats.org/officeDocument/2006/relationships/customXml" Target="../ink/ink40.xml"/><Relationship Id="rId554" Type="http://schemas.openxmlformats.org/officeDocument/2006/relationships/customXml" Target="../ink/ink550.xml"/><Relationship Id="rId761" Type="http://schemas.openxmlformats.org/officeDocument/2006/relationships/customXml" Target="../ink/ink757.xml"/><Relationship Id="rId193" Type="http://schemas.openxmlformats.org/officeDocument/2006/relationships/customXml" Target="../ink/ink189.xml"/><Relationship Id="rId207" Type="http://schemas.openxmlformats.org/officeDocument/2006/relationships/customXml" Target="../ink/ink203.xml"/><Relationship Id="rId414" Type="http://schemas.openxmlformats.org/officeDocument/2006/relationships/customXml" Target="../ink/ink410.xml"/><Relationship Id="rId498" Type="http://schemas.openxmlformats.org/officeDocument/2006/relationships/customXml" Target="../ink/ink494.xml"/><Relationship Id="rId621" Type="http://schemas.openxmlformats.org/officeDocument/2006/relationships/customXml" Target="../ink/ink617.xml"/><Relationship Id="rId260" Type="http://schemas.openxmlformats.org/officeDocument/2006/relationships/customXml" Target="../ink/ink256.xml"/><Relationship Id="rId719" Type="http://schemas.openxmlformats.org/officeDocument/2006/relationships/customXml" Target="../ink/ink715.xml"/><Relationship Id="rId55" Type="http://schemas.openxmlformats.org/officeDocument/2006/relationships/customXml" Target="../ink/ink51.xml"/><Relationship Id="rId120" Type="http://schemas.openxmlformats.org/officeDocument/2006/relationships/customXml" Target="../ink/ink116.xml"/><Relationship Id="rId358" Type="http://schemas.openxmlformats.org/officeDocument/2006/relationships/customXml" Target="../ink/ink354.xml"/><Relationship Id="rId565" Type="http://schemas.openxmlformats.org/officeDocument/2006/relationships/customXml" Target="../ink/ink561.xml"/><Relationship Id="rId772" Type="http://schemas.openxmlformats.org/officeDocument/2006/relationships/customXml" Target="../ink/ink768.xml"/><Relationship Id="rId218" Type="http://schemas.openxmlformats.org/officeDocument/2006/relationships/customXml" Target="../ink/ink214.xml"/><Relationship Id="rId425" Type="http://schemas.openxmlformats.org/officeDocument/2006/relationships/customXml" Target="../ink/ink421.xml"/><Relationship Id="rId632" Type="http://schemas.openxmlformats.org/officeDocument/2006/relationships/customXml" Target="../ink/ink628.xml"/><Relationship Id="rId271" Type="http://schemas.openxmlformats.org/officeDocument/2006/relationships/customXml" Target="../ink/ink267.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ustomXml" Target="../ink/ink845.xml"/><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customXml" Target="../ink/ink846.xml"/><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137160</xdr:colOff>
      <xdr:row>1</xdr:row>
      <xdr:rowOff>106680</xdr:rowOff>
    </xdr:from>
    <xdr:to>
      <xdr:col>26</xdr:col>
      <xdr:colOff>571500</xdr:colOff>
      <xdr:row>42</xdr:row>
      <xdr:rowOff>91440</xdr:rowOff>
    </xdr:to>
    <xdr:sp macro="" textlink="">
      <xdr:nvSpPr>
        <xdr:cNvPr id="2" name="תיבת טקסט 1">
          <a:extLst>
            <a:ext uri="{FF2B5EF4-FFF2-40B4-BE49-F238E27FC236}">
              <a16:creationId xmlns:a16="http://schemas.microsoft.com/office/drawing/2014/main" id="{8F54177F-369F-F0DB-1D13-1B261B009C2F}"/>
            </a:ext>
          </a:extLst>
        </xdr:cNvPr>
        <xdr:cNvSpPr txBox="1"/>
      </xdr:nvSpPr>
      <xdr:spPr>
        <a:xfrm>
          <a:off x="10968448980" y="281940"/>
          <a:ext cx="17868900" cy="7170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600" b="1" i="0" u="sng">
              <a:solidFill>
                <a:schemeClr val="dk1"/>
              </a:solidFill>
              <a:effectLst/>
              <a:latin typeface="+mn-lt"/>
              <a:ea typeface="+mn-ea"/>
              <a:cs typeface="+mn-cs"/>
            </a:rPr>
            <a:t>טיפים אחרונים לפני המבחן</a:t>
          </a:r>
          <a:r>
            <a:rPr lang="he-IL" sz="1600" b="1" i="0" u="sng" baseline="0">
              <a:solidFill>
                <a:schemeClr val="dk1"/>
              </a:solidFill>
              <a:effectLst/>
              <a:latin typeface="+mn-lt"/>
              <a:ea typeface="+mn-ea"/>
              <a:cs typeface="+mn-cs"/>
            </a:rPr>
            <a:t>: </a:t>
          </a:r>
        </a:p>
        <a:p>
          <a:pPr rtl="1"/>
          <a:endParaRPr lang="he-IL" sz="1600" b="1" i="0" u="sng" baseline="0">
            <a:solidFill>
              <a:schemeClr val="dk1"/>
            </a:solidFill>
            <a:effectLst/>
            <a:latin typeface="+mn-lt"/>
            <a:ea typeface="+mn-ea"/>
            <a:cs typeface="+mn-cs"/>
          </a:endParaRPr>
        </a:p>
        <a:p>
          <a:pPr rtl="1"/>
          <a:r>
            <a:rPr lang="he-IL" sz="1600" b="1" i="0" u="sng" baseline="0">
              <a:solidFill>
                <a:schemeClr val="dk1"/>
              </a:solidFill>
              <a:effectLst/>
              <a:latin typeface="+mn-lt"/>
              <a:ea typeface="+mn-ea"/>
              <a:cs typeface="+mn-cs"/>
            </a:rPr>
            <a:t>כדאי להביא 4 מבחנים אחרונים מודפסים +</a:t>
          </a:r>
          <a:r>
            <a:rPr lang="en-US" sz="1600" b="1" i="0" u="sng" baseline="0">
              <a:solidFill>
                <a:schemeClr val="dk1"/>
              </a:solidFill>
              <a:effectLst/>
              <a:latin typeface="+mn-lt"/>
              <a:ea typeface="+mn-ea"/>
              <a:cs typeface="+mn-cs"/>
            </a:rPr>
            <a:t> </a:t>
          </a:r>
          <a:r>
            <a:rPr lang="he-IL" sz="1600" b="1" i="0" u="sng" baseline="0">
              <a:solidFill>
                <a:schemeClr val="dk1"/>
              </a:solidFill>
              <a:effectLst/>
              <a:latin typeface="+mn-lt"/>
              <a:ea typeface="+mn-ea"/>
              <a:cs typeface="+mn-cs"/>
            </a:rPr>
            <a:t>סיכום של מה עושה כל פונקציה ואיך עובדים איתה. </a:t>
          </a:r>
        </a:p>
        <a:p>
          <a:pPr rtl="1"/>
          <a:endParaRPr lang="he-IL" sz="1600" b="1" i="0" u="sng" baseline="0">
            <a:solidFill>
              <a:schemeClr val="dk1"/>
            </a:solidFill>
            <a:effectLst/>
            <a:latin typeface="+mn-lt"/>
            <a:ea typeface="+mn-ea"/>
            <a:cs typeface="+mn-cs"/>
          </a:endParaRPr>
        </a:p>
        <a:p>
          <a:pPr rtl="1"/>
          <a:r>
            <a:rPr lang="he-IL" sz="1600" b="1" i="0" u="sng" baseline="0">
              <a:solidFill>
                <a:schemeClr val="dk1"/>
              </a:solidFill>
              <a:effectLst/>
              <a:latin typeface="+mn-lt"/>
              <a:ea typeface="+mn-ea"/>
              <a:cs typeface="+mn-cs"/>
            </a:rPr>
            <a:t>לשמור כל 10 דקות, לעיתים מחשב נתקע או הפסקת חשמל.</a:t>
          </a:r>
          <a:br>
            <a:rPr lang="en-US" sz="1600" b="1" i="0" u="sng" baseline="0">
              <a:solidFill>
                <a:schemeClr val="dk1"/>
              </a:solidFill>
              <a:effectLst/>
              <a:latin typeface="+mn-lt"/>
              <a:ea typeface="+mn-ea"/>
              <a:cs typeface="+mn-cs"/>
            </a:rPr>
          </a:br>
          <a:br>
            <a:rPr lang="en-US" sz="1600" b="1" i="0" u="sng" baseline="0">
              <a:solidFill>
                <a:schemeClr val="dk1"/>
              </a:solidFill>
              <a:effectLst/>
              <a:latin typeface="+mn-lt"/>
              <a:ea typeface="+mn-ea"/>
              <a:cs typeface="+mn-cs"/>
            </a:rPr>
          </a:br>
          <a:r>
            <a:rPr lang="he-IL" sz="1800" b="0" i="0" u="sng" baseline="0">
              <a:solidFill>
                <a:srgbClr val="FF0000"/>
              </a:solidFill>
              <a:effectLst/>
              <a:latin typeface="+mn-lt"/>
              <a:ea typeface="+mn-ea"/>
              <a:cs typeface="+mn-cs"/>
            </a:rPr>
            <a:t>🏆 בימים שלפני המבחן לא לתרגל תרגילי כיתה ולא תרגילי בית. הם לא ממש משקפים רמת וסגנון וניסוח של מבחן. לתרגל אך ורק מבחנים. תרגילי הכיתה והבית הם טובים רק למהלך הסמסטר עצמו. </a:t>
          </a:r>
          <a:endParaRPr lang="he-IL" sz="2800" b="0" i="0" u="sng" baseline="0">
            <a:solidFill>
              <a:srgbClr val="FF0000"/>
            </a:solidFill>
            <a:effectLst/>
            <a:latin typeface="+mn-lt"/>
            <a:ea typeface="+mn-ea"/>
            <a:cs typeface="+mn-cs"/>
          </a:endParaRPr>
        </a:p>
        <a:p>
          <a:pPr rtl="1"/>
          <a:endParaRPr lang="he-IL" sz="1600">
            <a:effectLst/>
          </a:endParaRPr>
        </a:p>
        <a:p>
          <a:pPr rtl="1"/>
          <a:r>
            <a:rPr lang="he-IL" sz="1600" b="0" i="0" baseline="0">
              <a:solidFill>
                <a:schemeClr val="dk1"/>
              </a:solidFill>
              <a:effectLst/>
              <a:latin typeface="+mn-lt"/>
              <a:ea typeface="+mn-ea"/>
              <a:cs typeface="+mn-cs"/>
            </a:rPr>
            <a:t>🏆 ביום הלמידה האחרון שלפני המבחן- כדאי לרענן ולפתור רק שאלות ממבחנים שכבר הצלחתם בימים האחרונים (עבור העלאת הביטחון) </a:t>
          </a:r>
          <a:endParaRPr lang="he-IL" sz="1600">
            <a:effectLst/>
          </a:endParaRPr>
        </a:p>
        <a:p>
          <a:pPr rtl="1"/>
          <a:r>
            <a:rPr lang="he-IL" sz="1600" b="0" i="0" baseline="0">
              <a:solidFill>
                <a:schemeClr val="dk1"/>
              </a:solidFill>
              <a:effectLst/>
              <a:latin typeface="+mn-lt"/>
              <a:ea typeface="+mn-ea"/>
              <a:cs typeface="+mn-cs"/>
            </a:rPr>
            <a:t>ולא לנסות שאלות חדשות (שעלולות להוריד ביטחון במקרה שלא הולך לנו).</a:t>
          </a:r>
          <a:endParaRPr lang="he-IL" sz="1600">
            <a:effectLst/>
          </a:endParaRPr>
        </a:p>
        <a:p>
          <a:pPr rtl="1"/>
          <a:r>
            <a:rPr lang="he-IL" sz="1600" b="0" i="0" baseline="0">
              <a:solidFill>
                <a:schemeClr val="dk1"/>
              </a:solidFill>
              <a:effectLst/>
              <a:latin typeface="+mn-lt"/>
              <a:ea typeface="+mn-ea"/>
              <a:cs typeface="+mn-cs"/>
            </a:rPr>
            <a:t> </a:t>
          </a:r>
          <a:endParaRPr lang="he-IL" sz="1600">
            <a:effectLst/>
          </a:endParaRPr>
        </a:p>
        <a:p>
          <a:pPr rtl="1"/>
          <a:r>
            <a:rPr lang="he-IL" sz="1600" b="0" i="0" baseline="0">
              <a:solidFill>
                <a:schemeClr val="dk1"/>
              </a:solidFill>
              <a:effectLst/>
              <a:latin typeface="+mn-lt"/>
              <a:ea typeface="+mn-ea"/>
              <a:cs typeface="+mn-cs"/>
            </a:rPr>
            <a:t>🏆 במבחן לא להיתקע ולא לבזבז זמן רב על סעיף שקשה לכם! גם אם אתם מרגישים שממש עוד רגע אתם מתגברים על הבעיה- זה עלול לעלות לכם בכך שלא תגיעו לשאלות שבסוף המבחן (שהן בד"כ קלות יותר מאשר השאלות הראשונות), </a:t>
          </a:r>
          <a:endParaRPr lang="he-IL" sz="1600">
            <a:effectLst/>
          </a:endParaRPr>
        </a:p>
        <a:p>
          <a:pPr rtl="1"/>
          <a:r>
            <a:rPr lang="he-IL" sz="1600" b="0" i="0" baseline="0">
              <a:solidFill>
                <a:schemeClr val="dk1"/>
              </a:solidFill>
              <a:effectLst/>
              <a:latin typeface="+mn-lt"/>
              <a:ea typeface="+mn-ea"/>
              <a:cs typeface="+mn-cs"/>
            </a:rPr>
            <a:t>וזאת תהיה החמצה גדולה.  יש בעיית זמן במבחן ורבים לא מסיימים את המבחן בזמן. </a:t>
          </a:r>
        </a:p>
        <a:p>
          <a:pPr rtl="1"/>
          <a:endParaRPr lang="he-IL" sz="1600">
            <a:effectLst/>
          </a:endParaRPr>
        </a:p>
        <a:p>
          <a:pPr rtl="1"/>
          <a:r>
            <a:rPr lang="he-IL" sz="1600" b="0" i="0" baseline="0">
              <a:solidFill>
                <a:schemeClr val="dk1"/>
              </a:solidFill>
              <a:effectLst/>
              <a:latin typeface="+mn-lt"/>
              <a:ea typeface="+mn-ea"/>
              <a:cs typeface="+mn-cs"/>
            </a:rPr>
            <a:t>🏆 לא משאירים סעיפים ריקים!  גם אם אתם לא יודעים מאיפה להתחיל סעיף מסוים, תמציאו מספרים (אפילו לעמודה שלמה) ואז אם תצליחו את הסעיף הבא </a:t>
          </a:r>
          <a:endParaRPr lang="he-IL" sz="1600">
            <a:effectLst/>
          </a:endParaRPr>
        </a:p>
        <a:p>
          <a:pPr rtl="1"/>
          <a:r>
            <a:rPr lang="he-IL" sz="1600" b="0" i="0" baseline="0">
              <a:solidFill>
                <a:schemeClr val="dk1"/>
              </a:solidFill>
              <a:effectLst/>
              <a:latin typeface="+mn-lt"/>
              <a:ea typeface="+mn-ea"/>
              <a:cs typeface="+mn-cs"/>
            </a:rPr>
            <a:t>(שנשען על מה שהמצאתם): תקבלו ממש את כל הניקוד עבור הסעיף הבא. </a:t>
          </a:r>
        </a:p>
        <a:p>
          <a:pPr rtl="1"/>
          <a:endParaRPr lang="he-IL" sz="1600">
            <a:effectLst/>
          </a:endParaRPr>
        </a:p>
        <a:p>
          <a:pPr rtl="1"/>
          <a:r>
            <a:rPr lang="he-IL" sz="1600" b="0" i="0" baseline="0">
              <a:solidFill>
                <a:schemeClr val="dk1"/>
              </a:solidFill>
              <a:effectLst/>
              <a:latin typeface="+mn-lt"/>
              <a:ea typeface="+mn-ea"/>
              <a:cs typeface="+mn-cs"/>
            </a:rPr>
            <a:t>🏆 גם אם מה שכתבתם לא מוביל לתוצאה בכלל, למשל שגיאה בשאלת</a:t>
          </a:r>
          <a:r>
            <a:rPr lang="af-ZA" sz="1600" b="0" i="0" baseline="0">
              <a:solidFill>
                <a:schemeClr val="dk1"/>
              </a:solidFill>
              <a:effectLst/>
              <a:latin typeface="+mn-lt"/>
              <a:ea typeface="+mn-ea"/>
              <a:cs typeface="+mn-cs"/>
            </a:rPr>
            <a:t>IF </a:t>
          </a:r>
          <a:r>
            <a:rPr lang="he-IL" sz="1600" b="0" i="0" baseline="0">
              <a:solidFill>
                <a:schemeClr val="dk1"/>
              </a:solidFill>
              <a:effectLst/>
              <a:latin typeface="+mn-lt"/>
              <a:ea typeface="+mn-ea"/>
              <a:cs typeface="+mn-cs"/>
            </a:rPr>
            <a:t> בתוך </a:t>
          </a:r>
          <a:r>
            <a:rPr lang="af-ZA" sz="1600" b="0" i="0" baseline="0">
              <a:solidFill>
                <a:schemeClr val="dk1"/>
              </a:solidFill>
              <a:effectLst/>
              <a:latin typeface="+mn-lt"/>
              <a:ea typeface="+mn-ea"/>
              <a:cs typeface="+mn-cs"/>
            </a:rPr>
            <a:t>IF</a:t>
          </a:r>
          <a:r>
            <a:rPr lang="he-IL" sz="1600" b="0" i="0" baseline="0">
              <a:solidFill>
                <a:schemeClr val="dk1"/>
              </a:solidFill>
              <a:effectLst/>
              <a:latin typeface="+mn-lt"/>
              <a:ea typeface="+mn-ea"/>
              <a:cs typeface="+mn-cs"/>
            </a:rPr>
            <a:t> תשאירו את כל מה שכתבתם! לא למחוק כלום! בודק המבחן יוריד ניקוד רק על הטעות הקטנה שתקעה הכל-  כך שאת רוב הניקוד תקבלו !!!</a:t>
          </a:r>
        </a:p>
        <a:p>
          <a:pPr rtl="1"/>
          <a:endParaRPr lang="he-IL" sz="1600">
            <a:effectLst/>
          </a:endParaRPr>
        </a:p>
        <a:p>
          <a:pPr rtl="1"/>
          <a:r>
            <a:rPr lang="he-IL" sz="1600" b="0" i="0" baseline="0">
              <a:solidFill>
                <a:schemeClr val="dk1"/>
              </a:solidFill>
              <a:effectLst/>
              <a:latin typeface="+mn-lt"/>
              <a:ea typeface="+mn-ea"/>
              <a:cs typeface="+mn-cs"/>
            </a:rPr>
            <a:t>🏆 לא לבזבז יותר מדי זמן בפשפוש בחומר הפתוח (למרות שזה ממש מפתה)!</a:t>
          </a:r>
        </a:p>
        <a:p>
          <a:pPr rtl="1"/>
          <a:r>
            <a:rPr lang="he-IL" sz="1600" b="0" i="0" baseline="0">
              <a:solidFill>
                <a:schemeClr val="dk1"/>
              </a:solidFill>
              <a:effectLst/>
              <a:latin typeface="+mn-lt"/>
              <a:ea typeface="+mn-ea"/>
              <a:cs typeface="+mn-cs"/>
            </a:rPr>
            <a:t> ניסיון העבר מלמד כי רבים לא מספיקים להגיע לכל השאלות בזמן המוקצב למבחן.סמנו לכם במרקר סעיף שהיה בעייתי ורק אם נשאר זמן, תחזרו אליו כמובן בכל הכוח! </a:t>
          </a:r>
          <a:endParaRPr lang="he-IL" sz="1600">
            <a:effectLst/>
          </a:endParaRPr>
        </a:p>
        <a:p>
          <a:pPr rtl="1"/>
          <a:r>
            <a:rPr lang="he-IL" sz="1600" b="0" i="0" baseline="0">
              <a:solidFill>
                <a:schemeClr val="dk1"/>
              </a:solidFill>
              <a:effectLst/>
              <a:latin typeface="+mn-lt"/>
              <a:ea typeface="+mn-ea"/>
              <a:cs typeface="+mn-cs"/>
            </a:rPr>
            <a:t> </a:t>
          </a:r>
          <a:endParaRPr lang="he-IL" sz="1600">
            <a:effectLst/>
          </a:endParaRPr>
        </a:p>
        <a:p>
          <a:pPr rtl="1"/>
          <a:r>
            <a:rPr lang="he-IL" sz="1600" b="0" i="0" baseline="0">
              <a:solidFill>
                <a:schemeClr val="dk1"/>
              </a:solidFill>
              <a:effectLst/>
              <a:latin typeface="+mn-lt"/>
              <a:ea typeface="+mn-ea"/>
              <a:cs typeface="+mn-cs"/>
            </a:rPr>
            <a:t>🏆 לא לבזבז זמן על בדיקת התוצאות שקיבלתם- </a:t>
          </a:r>
          <a:endParaRPr lang="he-IL" sz="1600">
            <a:effectLst/>
          </a:endParaRPr>
        </a:p>
        <a:p>
          <a:pPr rtl="1"/>
          <a:r>
            <a:rPr lang="he-IL" sz="1600" b="0" i="0" baseline="0">
              <a:solidFill>
                <a:schemeClr val="dk1"/>
              </a:solidFill>
              <a:effectLst/>
              <a:latin typeface="+mn-lt"/>
              <a:ea typeface="+mn-ea"/>
              <a:cs typeface="+mn-cs"/>
            </a:rPr>
            <a:t>רק אם נותר לכם זמן יהיה כדאי לחזור ולבדוק האם התוצאות הגיוניות... </a:t>
          </a:r>
        </a:p>
        <a:p>
          <a:pPr rtl="1"/>
          <a:endParaRPr lang="he-IL" sz="1600">
            <a:effectLst/>
          </a:endParaRPr>
        </a:p>
        <a:p>
          <a:pPr rtl="1"/>
          <a:r>
            <a:rPr lang="he-IL" sz="1600" b="0" i="0" baseline="0">
              <a:solidFill>
                <a:schemeClr val="dk1"/>
              </a:solidFill>
              <a:effectLst/>
              <a:latin typeface="+mn-lt"/>
              <a:ea typeface="+mn-ea"/>
              <a:cs typeface="+mn-cs"/>
            </a:rPr>
            <a:t>🏆 תאי עזר יש למקם היכן שביקשו בטופס המבחן. רשמו ליד כל תא עזר לאיזו שאלה הוא שייך (כדאי גם להשתמש בצבעים):בכך תעזרו לבודק המבחן להבין בקלות מה שייך לכל שאלה וגם תקלו עליו להבין מה התכוונתם לעשות בפתרון.</a:t>
          </a:r>
        </a:p>
        <a:p>
          <a:pPr rtl="1"/>
          <a:endParaRPr lang="he-IL" sz="1600">
            <a:effectLst/>
          </a:endParaRPr>
        </a:p>
        <a:p>
          <a:pPr rtl="1"/>
          <a:r>
            <a:rPr lang="he-IL" sz="1600" b="0" i="0" baseline="0">
              <a:solidFill>
                <a:schemeClr val="dk1"/>
              </a:solidFill>
              <a:effectLst/>
              <a:latin typeface="+mn-lt"/>
              <a:ea typeface="+mn-ea"/>
              <a:cs typeface="+mn-cs"/>
            </a:rPr>
            <a:t> 🏆 זיכרו: גם אם יש טעות, יורד ניקוד חלקי בלבד (הבדיקה ממש הוגנת) אז נסו למלא כמה שיותר תוכן בתשובות שלכם! </a:t>
          </a:r>
          <a:endParaRPr lang="he-IL" sz="1600">
            <a:effectLst/>
          </a:endParaRPr>
        </a:p>
        <a:p>
          <a:pPr algn="r" rtl="1"/>
          <a:endParaRPr lang="he-IL" sz="1100" kern="1200"/>
        </a:p>
        <a:p>
          <a:pPr algn="r" rtl="1"/>
          <a:endParaRPr lang="he-IL"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446850</xdr:colOff>
      <xdr:row>13</xdr:row>
      <xdr:rowOff>103496</xdr:rowOff>
    </xdr:from>
    <xdr:to>
      <xdr:col>9</xdr:col>
      <xdr:colOff>410308</xdr:colOff>
      <xdr:row>25</xdr:row>
      <xdr:rowOff>89681</xdr:rowOff>
    </xdr:to>
    <xdr:pic>
      <xdr:nvPicPr>
        <xdr:cNvPr id="2" name="תמונה 1">
          <a:extLst>
            <a:ext uri="{FF2B5EF4-FFF2-40B4-BE49-F238E27FC236}">
              <a16:creationId xmlns:a16="http://schemas.microsoft.com/office/drawing/2014/main" id="{E7945262-AFCF-4583-978C-0E2934C13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29175676" y="2635681"/>
          <a:ext cx="7208320" cy="20963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579120</xdr:colOff>
      <xdr:row>2</xdr:row>
      <xdr:rowOff>169695</xdr:rowOff>
    </xdr:from>
    <xdr:to>
      <xdr:col>17</xdr:col>
      <xdr:colOff>347186</xdr:colOff>
      <xdr:row>5</xdr:row>
      <xdr:rowOff>97004</xdr:rowOff>
    </xdr:to>
    <xdr:pic>
      <xdr:nvPicPr>
        <xdr:cNvPr id="2" name="תמונה 1">
          <a:extLst>
            <a:ext uri="{FF2B5EF4-FFF2-40B4-BE49-F238E27FC236}">
              <a16:creationId xmlns:a16="http://schemas.microsoft.com/office/drawing/2014/main" id="{911D3841-876D-484A-98FB-452797855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973969194" y="619275"/>
          <a:ext cx="10565606" cy="475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45720</xdr:colOff>
      <xdr:row>0</xdr:row>
      <xdr:rowOff>76200</xdr:rowOff>
    </xdr:from>
    <xdr:to>
      <xdr:col>19</xdr:col>
      <xdr:colOff>708660</xdr:colOff>
      <xdr:row>12</xdr:row>
      <xdr:rowOff>37983</xdr:rowOff>
    </xdr:to>
    <xdr:pic>
      <xdr:nvPicPr>
        <xdr:cNvPr id="3" name="תמונה 2">
          <a:extLst>
            <a:ext uri="{FF2B5EF4-FFF2-40B4-BE49-F238E27FC236}">
              <a16:creationId xmlns:a16="http://schemas.microsoft.com/office/drawing/2014/main" id="{FDEF7828-4756-4108-A55D-A9ABE1975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46765200" y="76200"/>
          <a:ext cx="10012680" cy="2537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453657</xdr:colOff>
      <xdr:row>7</xdr:row>
      <xdr:rowOff>88134</xdr:rowOff>
    </xdr:from>
    <xdr:to>
      <xdr:col>12</xdr:col>
      <xdr:colOff>1873625</xdr:colOff>
      <xdr:row>22</xdr:row>
      <xdr:rowOff>7676</xdr:rowOff>
    </xdr:to>
    <xdr:pic>
      <xdr:nvPicPr>
        <xdr:cNvPr id="2" name="תמונה 1">
          <a:extLst>
            <a:ext uri="{FF2B5EF4-FFF2-40B4-BE49-F238E27FC236}">
              <a16:creationId xmlns:a16="http://schemas.microsoft.com/office/drawing/2014/main" id="{28247358-F6E5-4D53-80E7-19DD7232B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840907270" y="1594205"/>
          <a:ext cx="10061944" cy="3496459"/>
        </a:xfrm>
        <a:prstGeom prst="rect">
          <a:avLst/>
        </a:prstGeom>
      </xdr:spPr>
    </xdr:pic>
    <xdr:clientData/>
  </xdr:twoCellAnchor>
  <xdr:twoCellAnchor editAs="oneCell">
    <xdr:from>
      <xdr:col>12</xdr:col>
      <xdr:colOff>213360</xdr:colOff>
      <xdr:row>73</xdr:row>
      <xdr:rowOff>7620</xdr:rowOff>
    </xdr:from>
    <xdr:to>
      <xdr:col>13</xdr:col>
      <xdr:colOff>902525</xdr:colOff>
      <xdr:row>92</xdr:row>
      <xdr:rowOff>11013</xdr:rowOff>
    </xdr:to>
    <xdr:pic>
      <xdr:nvPicPr>
        <xdr:cNvPr id="3" name="תמונה 2">
          <a:extLst>
            <a:ext uri="{FF2B5EF4-FFF2-40B4-BE49-F238E27FC236}">
              <a16:creationId xmlns:a16="http://schemas.microsoft.com/office/drawing/2014/main" id="{56EEAEBA-456F-1125-743C-708DD8A245AC}"/>
            </a:ext>
          </a:extLst>
        </xdr:cNvPr>
        <xdr:cNvPicPr>
          <a:picLocks noChangeAspect="1"/>
        </xdr:cNvPicPr>
      </xdr:nvPicPr>
      <xdr:blipFill>
        <a:blip xmlns:r="http://schemas.openxmlformats.org/officeDocument/2006/relationships" r:embed="rId2"/>
        <a:stretch>
          <a:fillRect/>
        </a:stretch>
      </xdr:blipFill>
      <xdr:spPr>
        <a:xfrm>
          <a:off x="9858935515" y="13975080"/>
          <a:ext cx="3561905" cy="3333333"/>
        </a:xfrm>
        <a:prstGeom prst="rect">
          <a:avLst/>
        </a:prstGeom>
      </xdr:spPr>
    </xdr:pic>
    <xdr:clientData/>
  </xdr:twoCellAnchor>
  <xdr:twoCellAnchor editAs="oneCell">
    <xdr:from>
      <xdr:col>7</xdr:col>
      <xdr:colOff>822960</xdr:colOff>
      <xdr:row>80</xdr:row>
      <xdr:rowOff>144780</xdr:rowOff>
    </xdr:from>
    <xdr:to>
      <xdr:col>10</xdr:col>
      <xdr:colOff>1526358</xdr:colOff>
      <xdr:row>87</xdr:row>
      <xdr:rowOff>3962</xdr:rowOff>
    </xdr:to>
    <xdr:pic>
      <xdr:nvPicPr>
        <xdr:cNvPr id="4" name="תמונה 3">
          <a:extLst>
            <a:ext uri="{FF2B5EF4-FFF2-40B4-BE49-F238E27FC236}">
              <a16:creationId xmlns:a16="http://schemas.microsoft.com/office/drawing/2014/main" id="{1541F0E5-5246-6186-9815-D8E5D8B92F30}"/>
            </a:ext>
          </a:extLst>
        </xdr:cNvPr>
        <xdr:cNvPicPr>
          <a:picLocks noChangeAspect="1"/>
        </xdr:cNvPicPr>
      </xdr:nvPicPr>
      <xdr:blipFill>
        <a:blip xmlns:r="http://schemas.openxmlformats.org/officeDocument/2006/relationships" r:embed="rId3"/>
        <a:stretch>
          <a:fillRect/>
        </a:stretch>
      </xdr:blipFill>
      <xdr:spPr>
        <a:xfrm>
          <a:off x="9858936522" y="14599920"/>
          <a:ext cx="3248478" cy="1086002"/>
        </a:xfrm>
        <a:prstGeom prst="rect">
          <a:avLst/>
        </a:prstGeom>
      </xdr:spPr>
    </xdr:pic>
    <xdr:clientData/>
  </xdr:twoCellAnchor>
  <xdr:twoCellAnchor editAs="oneCell">
    <xdr:from>
      <xdr:col>7</xdr:col>
      <xdr:colOff>365760</xdr:colOff>
      <xdr:row>88</xdr:row>
      <xdr:rowOff>152400</xdr:rowOff>
    </xdr:from>
    <xdr:to>
      <xdr:col>10</xdr:col>
      <xdr:colOff>1393054</xdr:colOff>
      <xdr:row>107</xdr:row>
      <xdr:rowOff>13780</xdr:rowOff>
    </xdr:to>
    <xdr:pic>
      <xdr:nvPicPr>
        <xdr:cNvPr id="5" name="תמונה 4">
          <a:extLst>
            <a:ext uri="{FF2B5EF4-FFF2-40B4-BE49-F238E27FC236}">
              <a16:creationId xmlns:a16="http://schemas.microsoft.com/office/drawing/2014/main" id="{0A704217-103E-D4B8-DB51-4138D9A8ED42}"/>
            </a:ext>
          </a:extLst>
        </xdr:cNvPr>
        <xdr:cNvPicPr>
          <a:picLocks noChangeAspect="1"/>
        </xdr:cNvPicPr>
      </xdr:nvPicPr>
      <xdr:blipFill>
        <a:blip xmlns:r="http://schemas.openxmlformats.org/officeDocument/2006/relationships" r:embed="rId4"/>
        <a:stretch>
          <a:fillRect/>
        </a:stretch>
      </xdr:blipFill>
      <xdr:spPr>
        <a:xfrm>
          <a:off x="9863687546" y="16748760"/>
          <a:ext cx="3572374" cy="31913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441960</xdr:colOff>
      <xdr:row>1</xdr:row>
      <xdr:rowOff>30479</xdr:rowOff>
    </xdr:from>
    <xdr:to>
      <xdr:col>26</xdr:col>
      <xdr:colOff>571500</xdr:colOff>
      <xdr:row>15</xdr:row>
      <xdr:rowOff>58960</xdr:rowOff>
    </xdr:to>
    <xdr:pic>
      <xdr:nvPicPr>
        <xdr:cNvPr id="2" name="תמונה 1">
          <a:extLst>
            <a:ext uri="{FF2B5EF4-FFF2-40B4-BE49-F238E27FC236}">
              <a16:creationId xmlns:a16="http://schemas.microsoft.com/office/drawing/2014/main" id="{A92CBF11-6596-498C-902C-5C9588CCC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8448980" y="739139"/>
          <a:ext cx="8450580" cy="2482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525780</xdr:colOff>
      <xdr:row>35</xdr:row>
      <xdr:rowOff>7620</xdr:rowOff>
    </xdr:from>
    <xdr:to>
      <xdr:col>27</xdr:col>
      <xdr:colOff>275633</xdr:colOff>
      <xdr:row>52</xdr:row>
      <xdr:rowOff>76625</xdr:rowOff>
    </xdr:to>
    <xdr:pic>
      <xdr:nvPicPr>
        <xdr:cNvPr id="3" name="תמונה 2">
          <a:extLst>
            <a:ext uri="{FF2B5EF4-FFF2-40B4-BE49-F238E27FC236}">
              <a16:creationId xmlns:a16="http://schemas.microsoft.com/office/drawing/2014/main" id="{712B5E19-109F-4AB7-8D1A-29D871A8F1F4}"/>
            </a:ext>
          </a:extLst>
        </xdr:cNvPr>
        <xdr:cNvPicPr>
          <a:picLocks noChangeAspect="1"/>
        </xdr:cNvPicPr>
      </xdr:nvPicPr>
      <xdr:blipFill>
        <a:blip xmlns:r="http://schemas.openxmlformats.org/officeDocument/2006/relationships" r:embed="rId2"/>
        <a:stretch>
          <a:fillRect/>
        </a:stretch>
      </xdr:blipFill>
      <xdr:spPr>
        <a:xfrm>
          <a:off x="10968074287" y="6896100"/>
          <a:ext cx="9412013" cy="3048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129540</xdr:colOff>
      <xdr:row>0</xdr:row>
      <xdr:rowOff>144780</xdr:rowOff>
    </xdr:from>
    <xdr:to>
      <xdr:col>24</xdr:col>
      <xdr:colOff>304800</xdr:colOff>
      <xdr:row>14</xdr:row>
      <xdr:rowOff>106680</xdr:rowOff>
    </xdr:to>
    <xdr:pic>
      <xdr:nvPicPr>
        <xdr:cNvPr id="3" name="תמונה 2">
          <a:extLst>
            <a:ext uri="{FF2B5EF4-FFF2-40B4-BE49-F238E27FC236}">
              <a16:creationId xmlns:a16="http://schemas.microsoft.com/office/drawing/2014/main" id="{60070925-9F4E-44BB-895F-9199140CF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0056800" y="144780"/>
          <a:ext cx="845820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10510</xdr:colOff>
      <xdr:row>1</xdr:row>
      <xdr:rowOff>106680</xdr:rowOff>
    </xdr:from>
    <xdr:to>
      <xdr:col>14</xdr:col>
      <xdr:colOff>24174</xdr:colOff>
      <xdr:row>6</xdr:row>
      <xdr:rowOff>18184</xdr:rowOff>
    </xdr:to>
    <xdr:pic>
      <xdr:nvPicPr>
        <xdr:cNvPr id="2" name="תמונה 1">
          <a:extLst>
            <a:ext uri="{FF2B5EF4-FFF2-40B4-BE49-F238E27FC236}">
              <a16:creationId xmlns:a16="http://schemas.microsoft.com/office/drawing/2014/main" id="{EAD969F8-7D99-4B47-B7EA-94ED1DAF4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977317346" y="830580"/>
          <a:ext cx="9424364" cy="82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204060</xdr:colOff>
      <xdr:row>9</xdr:row>
      <xdr:rowOff>196560</xdr:rowOff>
    </xdr:from>
    <xdr:to>
      <xdr:col>3</xdr:col>
      <xdr:colOff>205860</xdr:colOff>
      <xdr:row>9</xdr:row>
      <xdr:rowOff>198360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דיו 1">
              <a:extLst>
                <a:ext uri="{FF2B5EF4-FFF2-40B4-BE49-F238E27FC236}">
                  <a16:creationId xmlns:a16="http://schemas.microsoft.com/office/drawing/2014/main" id="{379E83C2-CCE3-4272-A977-B3D060FB307B}"/>
                </a:ext>
              </a:extLst>
            </xdr14:cNvPr>
            <xdr14:cNvContentPartPr/>
          </xdr14:nvContentPartPr>
          <xdr14:nvPr macro=""/>
          <xdr14:xfrm>
            <a:off x="10858758960" y="2391120"/>
            <a:ext cx="1800" cy="1800"/>
          </xdr14:xfrm>
        </xdr:contentPart>
      </mc:Choice>
      <mc:Fallback xmlns="">
        <xdr:pic>
          <xdr:nvPicPr>
            <xdr:cNvPr id="4" name="דיו 3">
              <a:extLst>
                <a:ext uri="{FF2B5EF4-FFF2-40B4-BE49-F238E27FC236}">
                  <a16:creationId xmlns:a16="http://schemas.microsoft.com/office/drawing/2014/main" id="{0914B3CC-FC98-1903-8578-AC0B524F6045}"/>
                </a:ext>
              </a:extLst>
            </xdr:cNvPr>
            <xdr:cNvPicPr/>
          </xdr:nvPicPr>
          <xdr:blipFill>
            <a:blip xmlns:r="http://schemas.openxmlformats.org/officeDocument/2006/relationships" r:embed="rId3"/>
            <a:stretch>
              <a:fillRect/>
            </a:stretch>
          </xdr:blipFill>
          <xdr:spPr>
            <a:xfrm>
              <a:off x="10858749960" y="2382120"/>
              <a:ext cx="19440" cy="19440"/>
            </a:xfrm>
            <a:prstGeom prst="rect">
              <a:avLst/>
            </a:prstGeom>
          </xdr:spPr>
        </xdr:pic>
      </mc:Fallback>
    </mc:AlternateContent>
    <xdr:clientData/>
  </xdr:twoCellAnchor>
  <xdr:twoCellAnchor editAs="oneCell">
    <xdr:from>
      <xdr:col>3</xdr:col>
      <xdr:colOff>891300</xdr:colOff>
      <xdr:row>0</xdr:row>
      <xdr:rowOff>586440</xdr:rowOff>
    </xdr:from>
    <xdr:to>
      <xdr:col>3</xdr:col>
      <xdr:colOff>891660</xdr:colOff>
      <xdr:row>1</xdr:row>
      <xdr:rowOff>60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3" name="דיו 2">
              <a:extLst>
                <a:ext uri="{FF2B5EF4-FFF2-40B4-BE49-F238E27FC236}">
                  <a16:creationId xmlns:a16="http://schemas.microsoft.com/office/drawing/2014/main" id="{7CF1490B-22BA-41D2-9EAF-CD465ECC545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twoCellAnchor>
  <xdr:twoCellAnchor editAs="oneCell">
    <xdr:from>
      <xdr:col>1</xdr:col>
      <xdr:colOff>360</xdr:colOff>
      <xdr:row>2</xdr:row>
      <xdr:rowOff>45480</xdr:rowOff>
    </xdr:from>
    <xdr:to>
      <xdr:col>1</xdr:col>
      <xdr:colOff>360</xdr:colOff>
      <xdr:row>2</xdr:row>
      <xdr:rowOff>45840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4" name="דיו 3">
              <a:extLst>
                <a:ext uri="{FF2B5EF4-FFF2-40B4-BE49-F238E27FC236}">
                  <a16:creationId xmlns:a16="http://schemas.microsoft.com/office/drawing/2014/main" id="{DF2AC11F-344E-449C-B932-A00F5774A24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twoCellAnchor>
  <xdr:twoCellAnchor editAs="oneCell">
    <xdr:from>
      <xdr:col>0</xdr:col>
      <xdr:colOff>1389528</xdr:colOff>
      <xdr:row>12</xdr:row>
      <xdr:rowOff>192625</xdr:rowOff>
    </xdr:from>
    <xdr:to>
      <xdr:col>6</xdr:col>
      <xdr:colOff>1163157</xdr:colOff>
      <xdr:row>21</xdr:row>
      <xdr:rowOff>152400</xdr:rowOff>
    </xdr:to>
    <xdr:pic>
      <xdr:nvPicPr>
        <xdr:cNvPr id="5" name="תמונה 4">
          <a:extLst>
            <a:ext uri="{FF2B5EF4-FFF2-40B4-BE49-F238E27FC236}">
              <a16:creationId xmlns:a16="http://schemas.microsoft.com/office/drawing/2014/main" id="{FC4767B5-712F-4106-B9A2-F2402AECEF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10869788820" y="3993660"/>
          <a:ext cx="10531276" cy="1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891300</xdr:colOff>
      <xdr:row>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דיו 5">
              <a:extLst>
                <a:ext uri="{FF2B5EF4-FFF2-40B4-BE49-F238E27FC236}">
                  <a16:creationId xmlns:a16="http://schemas.microsoft.com/office/drawing/2014/main" id="{FE936348-0AA8-4DEA-8005-C1A24D2F7F6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דיו 6">
              <a:extLst>
                <a:ext uri="{FF2B5EF4-FFF2-40B4-BE49-F238E27FC236}">
                  <a16:creationId xmlns:a16="http://schemas.microsoft.com/office/drawing/2014/main" id="{6EC3C342-2BF2-4C7E-B0DC-62C20AAAB21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8" name="דיו 7">
              <a:extLst>
                <a:ext uri="{FF2B5EF4-FFF2-40B4-BE49-F238E27FC236}">
                  <a16:creationId xmlns:a16="http://schemas.microsoft.com/office/drawing/2014/main" id="{ECFB7400-B64A-4A69-843C-1079C9B5A24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9" name="דיו 8">
              <a:extLst>
                <a:ext uri="{FF2B5EF4-FFF2-40B4-BE49-F238E27FC236}">
                  <a16:creationId xmlns:a16="http://schemas.microsoft.com/office/drawing/2014/main" id="{974228FF-3F4D-43CB-92CB-29D95BC05ED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0" name="דיו 9">
              <a:extLst>
                <a:ext uri="{FF2B5EF4-FFF2-40B4-BE49-F238E27FC236}">
                  <a16:creationId xmlns:a16="http://schemas.microsoft.com/office/drawing/2014/main" id="{95371A5C-A686-4069-89A8-7ABDF0A6769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1" name="דיו 10">
              <a:extLst>
                <a:ext uri="{FF2B5EF4-FFF2-40B4-BE49-F238E27FC236}">
                  <a16:creationId xmlns:a16="http://schemas.microsoft.com/office/drawing/2014/main" id="{87DB9B73-17C9-42BC-B8CD-5C343BB6EEE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2" name="דיו 11">
              <a:extLst>
                <a:ext uri="{FF2B5EF4-FFF2-40B4-BE49-F238E27FC236}">
                  <a16:creationId xmlns:a16="http://schemas.microsoft.com/office/drawing/2014/main" id="{2A40A709-1F3D-4B32-904D-103EEC8364A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3" name="דיו 12">
              <a:extLst>
                <a:ext uri="{FF2B5EF4-FFF2-40B4-BE49-F238E27FC236}">
                  <a16:creationId xmlns:a16="http://schemas.microsoft.com/office/drawing/2014/main" id="{588E7169-0563-4F5E-A184-5EDF0161715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4" name="דיו 13">
              <a:extLst>
                <a:ext uri="{FF2B5EF4-FFF2-40B4-BE49-F238E27FC236}">
                  <a16:creationId xmlns:a16="http://schemas.microsoft.com/office/drawing/2014/main" id="{CFC7EE25-AEF3-49E7-A93B-47BFA425BF1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5" name="דיו 14">
              <a:extLst>
                <a:ext uri="{FF2B5EF4-FFF2-40B4-BE49-F238E27FC236}">
                  <a16:creationId xmlns:a16="http://schemas.microsoft.com/office/drawing/2014/main" id="{CD779BC7-8EC6-4C46-A5E2-4F79826F868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 name="דיו 15">
              <a:extLst>
                <a:ext uri="{FF2B5EF4-FFF2-40B4-BE49-F238E27FC236}">
                  <a16:creationId xmlns:a16="http://schemas.microsoft.com/office/drawing/2014/main" id="{735FE0DF-278B-435E-B7DB-CB12A3D22A0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7" name="דיו 16">
              <a:extLst>
                <a:ext uri="{FF2B5EF4-FFF2-40B4-BE49-F238E27FC236}">
                  <a16:creationId xmlns:a16="http://schemas.microsoft.com/office/drawing/2014/main" id="{802D3FC3-65CA-455F-B7FE-6EA50D34B99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8" name="דיו 17">
              <a:extLst>
                <a:ext uri="{FF2B5EF4-FFF2-40B4-BE49-F238E27FC236}">
                  <a16:creationId xmlns:a16="http://schemas.microsoft.com/office/drawing/2014/main" id="{A51F1B52-B7B6-4C4D-8FA0-B2F7623A5DE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דיו 18">
              <a:extLst>
                <a:ext uri="{FF2B5EF4-FFF2-40B4-BE49-F238E27FC236}">
                  <a16:creationId xmlns:a16="http://schemas.microsoft.com/office/drawing/2014/main" id="{02DB0EEB-D76F-4D09-8076-18E7EFA9E4C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0" name="דיו 19">
              <a:extLst>
                <a:ext uri="{FF2B5EF4-FFF2-40B4-BE49-F238E27FC236}">
                  <a16:creationId xmlns:a16="http://schemas.microsoft.com/office/drawing/2014/main" id="{AC6C8AC3-FB2B-43DE-849F-E8CC8D46E5C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1" name="דיו 20">
              <a:extLst>
                <a:ext uri="{FF2B5EF4-FFF2-40B4-BE49-F238E27FC236}">
                  <a16:creationId xmlns:a16="http://schemas.microsoft.com/office/drawing/2014/main" id="{ED9DB21F-A818-4F42-9BB4-EB699F24637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2" name="דיו 21">
              <a:extLst>
                <a:ext uri="{FF2B5EF4-FFF2-40B4-BE49-F238E27FC236}">
                  <a16:creationId xmlns:a16="http://schemas.microsoft.com/office/drawing/2014/main" id="{7E26AE7E-09A9-44AA-9909-E3650BD7D3D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3" name="דיו 22">
              <a:extLst>
                <a:ext uri="{FF2B5EF4-FFF2-40B4-BE49-F238E27FC236}">
                  <a16:creationId xmlns:a16="http://schemas.microsoft.com/office/drawing/2014/main" id="{29D31FED-2DCF-421C-B335-CFDEF1FC86D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4" name="דיו 23">
              <a:extLst>
                <a:ext uri="{FF2B5EF4-FFF2-40B4-BE49-F238E27FC236}">
                  <a16:creationId xmlns:a16="http://schemas.microsoft.com/office/drawing/2014/main" id="{090E5D31-DD94-45D8-85AC-9FD1643C225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5" name="דיו 24">
              <a:extLst>
                <a:ext uri="{FF2B5EF4-FFF2-40B4-BE49-F238E27FC236}">
                  <a16:creationId xmlns:a16="http://schemas.microsoft.com/office/drawing/2014/main" id="{E5C528BE-46C9-499A-95F8-EED2A67AB77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6" name="דיו 25">
              <a:extLst>
                <a:ext uri="{FF2B5EF4-FFF2-40B4-BE49-F238E27FC236}">
                  <a16:creationId xmlns:a16="http://schemas.microsoft.com/office/drawing/2014/main" id="{D0759746-2ABB-49C9-AB53-00DA977C706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7" name="דיו 26">
              <a:extLst>
                <a:ext uri="{FF2B5EF4-FFF2-40B4-BE49-F238E27FC236}">
                  <a16:creationId xmlns:a16="http://schemas.microsoft.com/office/drawing/2014/main" id="{6DD69028-186E-40F6-9A24-98FA1E69B95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8" name="דיו 27">
              <a:extLst>
                <a:ext uri="{FF2B5EF4-FFF2-40B4-BE49-F238E27FC236}">
                  <a16:creationId xmlns:a16="http://schemas.microsoft.com/office/drawing/2014/main" id="{DF99E37B-6D82-4068-8FC0-2ECE13D5C24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29" name="דיו 28">
              <a:extLst>
                <a:ext uri="{FF2B5EF4-FFF2-40B4-BE49-F238E27FC236}">
                  <a16:creationId xmlns:a16="http://schemas.microsoft.com/office/drawing/2014/main" id="{8BC00310-83D2-4E2E-BC9E-0762416244F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0" name="דיו 29">
              <a:extLst>
                <a:ext uri="{FF2B5EF4-FFF2-40B4-BE49-F238E27FC236}">
                  <a16:creationId xmlns:a16="http://schemas.microsoft.com/office/drawing/2014/main" id="{9F1A9F88-992E-4EC4-AF0C-D03575ADF63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1" name="דיו 30">
              <a:extLst>
                <a:ext uri="{FF2B5EF4-FFF2-40B4-BE49-F238E27FC236}">
                  <a16:creationId xmlns:a16="http://schemas.microsoft.com/office/drawing/2014/main" id="{A1EBC020-9A41-46F9-AD32-75DEA370F6D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2" name="דיו 31">
              <a:extLst>
                <a:ext uri="{FF2B5EF4-FFF2-40B4-BE49-F238E27FC236}">
                  <a16:creationId xmlns:a16="http://schemas.microsoft.com/office/drawing/2014/main" id="{22FC28C4-3A8A-4E4D-85B3-D6144FDB568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3" name="דיו 32">
              <a:extLst>
                <a:ext uri="{FF2B5EF4-FFF2-40B4-BE49-F238E27FC236}">
                  <a16:creationId xmlns:a16="http://schemas.microsoft.com/office/drawing/2014/main" id="{2F453C27-E199-4655-8C51-644ED03A98B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4" name="דיו 33">
              <a:extLst>
                <a:ext uri="{FF2B5EF4-FFF2-40B4-BE49-F238E27FC236}">
                  <a16:creationId xmlns:a16="http://schemas.microsoft.com/office/drawing/2014/main" id="{1E64CEC8-679E-4B25-B2A0-E29B5809053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5" name="דיו 34">
              <a:extLst>
                <a:ext uri="{FF2B5EF4-FFF2-40B4-BE49-F238E27FC236}">
                  <a16:creationId xmlns:a16="http://schemas.microsoft.com/office/drawing/2014/main" id="{CE355B79-8DE9-4B00-A2BA-D23FA318AE3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6" name="דיו 35">
              <a:extLst>
                <a:ext uri="{FF2B5EF4-FFF2-40B4-BE49-F238E27FC236}">
                  <a16:creationId xmlns:a16="http://schemas.microsoft.com/office/drawing/2014/main" id="{6D64F3FB-77A5-4E69-9B76-76195B36083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7" name="דיו 36">
              <a:extLst>
                <a:ext uri="{FF2B5EF4-FFF2-40B4-BE49-F238E27FC236}">
                  <a16:creationId xmlns:a16="http://schemas.microsoft.com/office/drawing/2014/main" id="{445630DD-2210-40D7-8A9D-24800EC2E96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38" name="דיו 37">
              <a:extLst>
                <a:ext uri="{FF2B5EF4-FFF2-40B4-BE49-F238E27FC236}">
                  <a16:creationId xmlns:a16="http://schemas.microsoft.com/office/drawing/2014/main" id="{2AA8F14E-836A-45EA-9E78-485D5836652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39" name="דיו 38">
              <a:extLst>
                <a:ext uri="{FF2B5EF4-FFF2-40B4-BE49-F238E27FC236}">
                  <a16:creationId xmlns:a16="http://schemas.microsoft.com/office/drawing/2014/main" id="{CA7C9786-057F-4C8F-B3E7-51FB89F1D6A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0" name="דיו 39">
              <a:extLst>
                <a:ext uri="{FF2B5EF4-FFF2-40B4-BE49-F238E27FC236}">
                  <a16:creationId xmlns:a16="http://schemas.microsoft.com/office/drawing/2014/main" id="{3D11A575-ED15-4D51-ABD0-60AAF34F0CA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1" name="דיו 40">
              <a:extLst>
                <a:ext uri="{FF2B5EF4-FFF2-40B4-BE49-F238E27FC236}">
                  <a16:creationId xmlns:a16="http://schemas.microsoft.com/office/drawing/2014/main" id="{DEC2B4A0-37BA-4883-A0E2-E8D41088820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2" name="דיו 41">
              <a:extLst>
                <a:ext uri="{FF2B5EF4-FFF2-40B4-BE49-F238E27FC236}">
                  <a16:creationId xmlns:a16="http://schemas.microsoft.com/office/drawing/2014/main" id="{1E1369C6-D92C-48C3-9D2B-1CC0A62FC94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3" name="דיו 42">
              <a:extLst>
                <a:ext uri="{FF2B5EF4-FFF2-40B4-BE49-F238E27FC236}">
                  <a16:creationId xmlns:a16="http://schemas.microsoft.com/office/drawing/2014/main" id="{BD30E754-A614-4CAD-A453-956A8C141BF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4" name="דיו 43">
              <a:extLst>
                <a:ext uri="{FF2B5EF4-FFF2-40B4-BE49-F238E27FC236}">
                  <a16:creationId xmlns:a16="http://schemas.microsoft.com/office/drawing/2014/main" id="{3C5385F6-B1C3-4236-A136-E5F99546DF2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5" name="דיו 44">
              <a:extLst>
                <a:ext uri="{FF2B5EF4-FFF2-40B4-BE49-F238E27FC236}">
                  <a16:creationId xmlns:a16="http://schemas.microsoft.com/office/drawing/2014/main" id="{CEF6C297-8247-467F-98D5-114DDFD7C01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6" name="דיו 45">
              <a:extLst>
                <a:ext uri="{FF2B5EF4-FFF2-40B4-BE49-F238E27FC236}">
                  <a16:creationId xmlns:a16="http://schemas.microsoft.com/office/drawing/2014/main" id="{67734E4E-37DB-409F-879E-627C79EB27C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7" name="דיו 46">
              <a:extLst>
                <a:ext uri="{FF2B5EF4-FFF2-40B4-BE49-F238E27FC236}">
                  <a16:creationId xmlns:a16="http://schemas.microsoft.com/office/drawing/2014/main" id="{A1631501-2057-4208-92DF-E1B192F4FF2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48" name="דיו 47">
              <a:extLst>
                <a:ext uri="{FF2B5EF4-FFF2-40B4-BE49-F238E27FC236}">
                  <a16:creationId xmlns:a16="http://schemas.microsoft.com/office/drawing/2014/main" id="{F26FDE4F-F34D-419F-8AC1-49D142B3053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49" name="דיו 48">
              <a:extLst>
                <a:ext uri="{FF2B5EF4-FFF2-40B4-BE49-F238E27FC236}">
                  <a16:creationId xmlns:a16="http://schemas.microsoft.com/office/drawing/2014/main" id="{607E71D9-6BD4-4F80-BD4A-DB0E85C4CDA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0" name="דיו 49">
              <a:extLst>
                <a:ext uri="{FF2B5EF4-FFF2-40B4-BE49-F238E27FC236}">
                  <a16:creationId xmlns:a16="http://schemas.microsoft.com/office/drawing/2014/main" id="{EA4C4B8F-555A-4115-A527-34A3DC98499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1" name="דיו 50">
              <a:extLst>
                <a:ext uri="{FF2B5EF4-FFF2-40B4-BE49-F238E27FC236}">
                  <a16:creationId xmlns:a16="http://schemas.microsoft.com/office/drawing/2014/main" id="{E5311119-34E7-40D1-BF24-B39D4E4F6B0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2" name="דיו 51">
              <a:extLst>
                <a:ext uri="{FF2B5EF4-FFF2-40B4-BE49-F238E27FC236}">
                  <a16:creationId xmlns:a16="http://schemas.microsoft.com/office/drawing/2014/main" id="{8FA011EC-21E2-4B5C-A630-E2C55BDEA01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3" name="דיו 52">
              <a:extLst>
                <a:ext uri="{FF2B5EF4-FFF2-40B4-BE49-F238E27FC236}">
                  <a16:creationId xmlns:a16="http://schemas.microsoft.com/office/drawing/2014/main" id="{9F00FA4E-1036-4564-9287-48307337AFD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4" name="דיו 53">
              <a:extLst>
                <a:ext uri="{FF2B5EF4-FFF2-40B4-BE49-F238E27FC236}">
                  <a16:creationId xmlns:a16="http://schemas.microsoft.com/office/drawing/2014/main" id="{B074AA66-9712-44A3-B36F-004319DD94E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5" name="דיו 54">
              <a:extLst>
                <a:ext uri="{FF2B5EF4-FFF2-40B4-BE49-F238E27FC236}">
                  <a16:creationId xmlns:a16="http://schemas.microsoft.com/office/drawing/2014/main" id="{9715C561-1F5E-440F-AD38-1E468D5E7B3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6" name="דיו 55">
              <a:extLst>
                <a:ext uri="{FF2B5EF4-FFF2-40B4-BE49-F238E27FC236}">
                  <a16:creationId xmlns:a16="http://schemas.microsoft.com/office/drawing/2014/main" id="{159B7ABA-A1F6-49FE-8E68-2ADB86CFEA0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7" name="דיו 56">
              <a:extLst>
                <a:ext uri="{FF2B5EF4-FFF2-40B4-BE49-F238E27FC236}">
                  <a16:creationId xmlns:a16="http://schemas.microsoft.com/office/drawing/2014/main" id="{44659C55-B331-4313-A2FA-77F76ADA61F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58" name="דיו 57">
              <a:extLst>
                <a:ext uri="{FF2B5EF4-FFF2-40B4-BE49-F238E27FC236}">
                  <a16:creationId xmlns:a16="http://schemas.microsoft.com/office/drawing/2014/main" id="{D9E956DB-A159-4C64-83BF-75A799E4A85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59" name="דיו 58">
              <a:extLst>
                <a:ext uri="{FF2B5EF4-FFF2-40B4-BE49-F238E27FC236}">
                  <a16:creationId xmlns:a16="http://schemas.microsoft.com/office/drawing/2014/main" id="{AFA07B3D-CFAC-478C-A694-861A6B63506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0" name="דיו 59">
              <a:extLst>
                <a:ext uri="{FF2B5EF4-FFF2-40B4-BE49-F238E27FC236}">
                  <a16:creationId xmlns:a16="http://schemas.microsoft.com/office/drawing/2014/main" id="{D9C1FFE5-5C4B-4E1D-9200-226E6589390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1" name="דיו 60">
              <a:extLst>
                <a:ext uri="{FF2B5EF4-FFF2-40B4-BE49-F238E27FC236}">
                  <a16:creationId xmlns:a16="http://schemas.microsoft.com/office/drawing/2014/main" id="{E85753A6-8C29-4685-A06F-7DC4BE5A57C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2" name="דיו 61">
              <a:extLst>
                <a:ext uri="{FF2B5EF4-FFF2-40B4-BE49-F238E27FC236}">
                  <a16:creationId xmlns:a16="http://schemas.microsoft.com/office/drawing/2014/main" id="{C5CD38FF-6F0C-4459-B015-A68771995FB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3" name="דיו 62">
              <a:extLst>
                <a:ext uri="{FF2B5EF4-FFF2-40B4-BE49-F238E27FC236}">
                  <a16:creationId xmlns:a16="http://schemas.microsoft.com/office/drawing/2014/main" id="{7C34F493-4A0B-45BA-82BC-D2758287BCF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4" name="דיו 63">
              <a:extLst>
                <a:ext uri="{FF2B5EF4-FFF2-40B4-BE49-F238E27FC236}">
                  <a16:creationId xmlns:a16="http://schemas.microsoft.com/office/drawing/2014/main" id="{67C4AE18-7F54-4E95-9E57-198C6E7B930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5" name="דיו 64">
              <a:extLst>
                <a:ext uri="{FF2B5EF4-FFF2-40B4-BE49-F238E27FC236}">
                  <a16:creationId xmlns:a16="http://schemas.microsoft.com/office/drawing/2014/main" id="{7FBDBAE0-CD65-42FC-9478-5C53376238E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6" name="דיו 65">
              <a:extLst>
                <a:ext uri="{FF2B5EF4-FFF2-40B4-BE49-F238E27FC236}">
                  <a16:creationId xmlns:a16="http://schemas.microsoft.com/office/drawing/2014/main" id="{96E1AB5C-A692-4A6C-8C3B-B97B06D9FF6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7" name="דיו 66">
              <a:extLst>
                <a:ext uri="{FF2B5EF4-FFF2-40B4-BE49-F238E27FC236}">
                  <a16:creationId xmlns:a16="http://schemas.microsoft.com/office/drawing/2014/main" id="{7F02AC43-3669-447E-88E4-14438FA628F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68" name="דיו 67">
              <a:extLst>
                <a:ext uri="{FF2B5EF4-FFF2-40B4-BE49-F238E27FC236}">
                  <a16:creationId xmlns:a16="http://schemas.microsoft.com/office/drawing/2014/main" id="{D851B35E-C87C-4251-8DA6-A079663A1AC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69" name="דיו 68">
              <a:extLst>
                <a:ext uri="{FF2B5EF4-FFF2-40B4-BE49-F238E27FC236}">
                  <a16:creationId xmlns:a16="http://schemas.microsoft.com/office/drawing/2014/main" id="{6829DD7B-CB67-435E-BD75-366664326BC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0" name="דיו 69">
              <a:extLst>
                <a:ext uri="{FF2B5EF4-FFF2-40B4-BE49-F238E27FC236}">
                  <a16:creationId xmlns:a16="http://schemas.microsoft.com/office/drawing/2014/main" id="{B6949B3C-95AF-46F8-B6FC-DF65BE586B5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1" name="דיו 70">
              <a:extLst>
                <a:ext uri="{FF2B5EF4-FFF2-40B4-BE49-F238E27FC236}">
                  <a16:creationId xmlns:a16="http://schemas.microsoft.com/office/drawing/2014/main" id="{CFEC33E4-F185-4601-8D12-4B18158D3F3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2" name="דיו 71">
              <a:extLst>
                <a:ext uri="{FF2B5EF4-FFF2-40B4-BE49-F238E27FC236}">
                  <a16:creationId xmlns:a16="http://schemas.microsoft.com/office/drawing/2014/main" id="{BAE5DC70-953B-4C29-AA4C-3C5A256A491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3" name="דיו 72">
              <a:extLst>
                <a:ext uri="{FF2B5EF4-FFF2-40B4-BE49-F238E27FC236}">
                  <a16:creationId xmlns:a16="http://schemas.microsoft.com/office/drawing/2014/main" id="{B3B44CFA-5B8C-4089-8156-3123A3328F3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4" name="דיו 73">
              <a:extLst>
                <a:ext uri="{FF2B5EF4-FFF2-40B4-BE49-F238E27FC236}">
                  <a16:creationId xmlns:a16="http://schemas.microsoft.com/office/drawing/2014/main" id="{4F6763B5-88DC-41D8-9B53-CA14E636342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5" name="דיו 74">
              <a:extLst>
                <a:ext uri="{FF2B5EF4-FFF2-40B4-BE49-F238E27FC236}">
                  <a16:creationId xmlns:a16="http://schemas.microsoft.com/office/drawing/2014/main" id="{980A2B75-560F-491F-BC42-9F17BEECFBA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6" name="דיו 75">
              <a:extLst>
                <a:ext uri="{FF2B5EF4-FFF2-40B4-BE49-F238E27FC236}">
                  <a16:creationId xmlns:a16="http://schemas.microsoft.com/office/drawing/2014/main" id="{981BC162-2576-4CF5-9EF7-DC02A627AFC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7" name="דיו 76">
              <a:extLst>
                <a:ext uri="{FF2B5EF4-FFF2-40B4-BE49-F238E27FC236}">
                  <a16:creationId xmlns:a16="http://schemas.microsoft.com/office/drawing/2014/main" id="{2BDF64BE-7502-44BE-A610-30274CE69CA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78" name="דיו 77">
              <a:extLst>
                <a:ext uri="{FF2B5EF4-FFF2-40B4-BE49-F238E27FC236}">
                  <a16:creationId xmlns:a16="http://schemas.microsoft.com/office/drawing/2014/main" id="{9D3A48F8-3A00-40CE-872F-CC42B318A8B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79" name="דיו 78">
              <a:extLst>
                <a:ext uri="{FF2B5EF4-FFF2-40B4-BE49-F238E27FC236}">
                  <a16:creationId xmlns:a16="http://schemas.microsoft.com/office/drawing/2014/main" id="{37EF31A8-A0A8-4FDB-B15B-9590BD8BA71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0" name="דיו 79">
              <a:extLst>
                <a:ext uri="{FF2B5EF4-FFF2-40B4-BE49-F238E27FC236}">
                  <a16:creationId xmlns:a16="http://schemas.microsoft.com/office/drawing/2014/main" id="{B0A4E0B9-729E-4B1E-BCDB-A3189571735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1" name="דיו 80">
              <a:extLst>
                <a:ext uri="{FF2B5EF4-FFF2-40B4-BE49-F238E27FC236}">
                  <a16:creationId xmlns:a16="http://schemas.microsoft.com/office/drawing/2014/main" id="{CDDF223F-6E6A-4FEA-BFBF-19F0195C770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2" name="דיו 81">
              <a:extLst>
                <a:ext uri="{FF2B5EF4-FFF2-40B4-BE49-F238E27FC236}">
                  <a16:creationId xmlns:a16="http://schemas.microsoft.com/office/drawing/2014/main" id="{7C337F3C-E1F4-450C-8775-2789E9835AF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3" name="דיו 82">
              <a:extLst>
                <a:ext uri="{FF2B5EF4-FFF2-40B4-BE49-F238E27FC236}">
                  <a16:creationId xmlns:a16="http://schemas.microsoft.com/office/drawing/2014/main" id="{E84B471A-0667-412C-BFC1-267246768FC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4" name="דיו 83">
              <a:extLst>
                <a:ext uri="{FF2B5EF4-FFF2-40B4-BE49-F238E27FC236}">
                  <a16:creationId xmlns:a16="http://schemas.microsoft.com/office/drawing/2014/main" id="{67AF60E5-633B-4374-9307-94C85361690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5" name="דיו 84">
              <a:extLst>
                <a:ext uri="{FF2B5EF4-FFF2-40B4-BE49-F238E27FC236}">
                  <a16:creationId xmlns:a16="http://schemas.microsoft.com/office/drawing/2014/main" id="{42347CFD-DB00-4A7B-882D-546D81C23B2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6" name="דיו 85">
              <a:extLst>
                <a:ext uri="{FF2B5EF4-FFF2-40B4-BE49-F238E27FC236}">
                  <a16:creationId xmlns:a16="http://schemas.microsoft.com/office/drawing/2014/main" id="{BCAF9AA4-0DE4-45EC-A8A7-E885A8BEF10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7" name="דיו 86">
              <a:extLst>
                <a:ext uri="{FF2B5EF4-FFF2-40B4-BE49-F238E27FC236}">
                  <a16:creationId xmlns:a16="http://schemas.microsoft.com/office/drawing/2014/main" id="{8ADC937B-F4D7-420C-A19B-37D2B00A9D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88" name="דיו 87">
              <a:extLst>
                <a:ext uri="{FF2B5EF4-FFF2-40B4-BE49-F238E27FC236}">
                  <a16:creationId xmlns:a16="http://schemas.microsoft.com/office/drawing/2014/main" id="{2BE7EE7E-76B8-4952-BB8C-C5C944356D2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89" name="דיו 88">
              <a:extLst>
                <a:ext uri="{FF2B5EF4-FFF2-40B4-BE49-F238E27FC236}">
                  <a16:creationId xmlns:a16="http://schemas.microsoft.com/office/drawing/2014/main" id="{3FD54C82-1B40-4345-AA52-A10E61F7351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0" name="דיו 89">
              <a:extLst>
                <a:ext uri="{FF2B5EF4-FFF2-40B4-BE49-F238E27FC236}">
                  <a16:creationId xmlns:a16="http://schemas.microsoft.com/office/drawing/2014/main" id="{46F2465E-CA4F-4130-80AA-6B63DE40468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1" name="דיו 90">
              <a:extLst>
                <a:ext uri="{FF2B5EF4-FFF2-40B4-BE49-F238E27FC236}">
                  <a16:creationId xmlns:a16="http://schemas.microsoft.com/office/drawing/2014/main" id="{88A5EC98-8A62-4201-B9B0-B291A75A0B5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2" name="דיו 91">
              <a:extLst>
                <a:ext uri="{FF2B5EF4-FFF2-40B4-BE49-F238E27FC236}">
                  <a16:creationId xmlns:a16="http://schemas.microsoft.com/office/drawing/2014/main" id="{DB63B786-98EA-4982-B7EB-EE78DFFDE3A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3" name="דיו 92">
              <a:extLst>
                <a:ext uri="{FF2B5EF4-FFF2-40B4-BE49-F238E27FC236}">
                  <a16:creationId xmlns:a16="http://schemas.microsoft.com/office/drawing/2014/main" id="{F230572C-7AB6-46E2-8458-911A0E1615E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4" name="דיו 93">
              <a:extLst>
                <a:ext uri="{FF2B5EF4-FFF2-40B4-BE49-F238E27FC236}">
                  <a16:creationId xmlns:a16="http://schemas.microsoft.com/office/drawing/2014/main" id="{B298BB96-0357-4268-A9B6-726D24CBF48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5" name="דיו 94">
              <a:extLst>
                <a:ext uri="{FF2B5EF4-FFF2-40B4-BE49-F238E27FC236}">
                  <a16:creationId xmlns:a16="http://schemas.microsoft.com/office/drawing/2014/main" id="{F366168E-AF65-429D-9C17-E9FAD0801EF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6" name="דיו 95">
              <a:extLst>
                <a:ext uri="{FF2B5EF4-FFF2-40B4-BE49-F238E27FC236}">
                  <a16:creationId xmlns:a16="http://schemas.microsoft.com/office/drawing/2014/main" id="{9E51D5BE-8D74-497F-A510-8B7A68BA65E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7" name="דיו 96">
              <a:extLst>
                <a:ext uri="{FF2B5EF4-FFF2-40B4-BE49-F238E27FC236}">
                  <a16:creationId xmlns:a16="http://schemas.microsoft.com/office/drawing/2014/main" id="{DEE0601A-A191-449D-A92C-0A3CAEF00FD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98" name="דיו 97">
              <a:extLst>
                <a:ext uri="{FF2B5EF4-FFF2-40B4-BE49-F238E27FC236}">
                  <a16:creationId xmlns:a16="http://schemas.microsoft.com/office/drawing/2014/main" id="{CC71113C-AA08-415E-9065-E54B38FA32D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99" name="דיו 98">
              <a:extLst>
                <a:ext uri="{FF2B5EF4-FFF2-40B4-BE49-F238E27FC236}">
                  <a16:creationId xmlns:a16="http://schemas.microsoft.com/office/drawing/2014/main" id="{A525E8BB-2E0F-4261-82DB-DF35E02B131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0" name="דיו 99">
              <a:extLst>
                <a:ext uri="{FF2B5EF4-FFF2-40B4-BE49-F238E27FC236}">
                  <a16:creationId xmlns:a16="http://schemas.microsoft.com/office/drawing/2014/main" id="{8089EDE0-C672-40C1-820D-49DB9ADAD4E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1" name="דיו 100">
              <a:extLst>
                <a:ext uri="{FF2B5EF4-FFF2-40B4-BE49-F238E27FC236}">
                  <a16:creationId xmlns:a16="http://schemas.microsoft.com/office/drawing/2014/main" id="{58A47D22-8364-44BE-B773-BAEEF138415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2" name="דיו 101">
              <a:extLst>
                <a:ext uri="{FF2B5EF4-FFF2-40B4-BE49-F238E27FC236}">
                  <a16:creationId xmlns:a16="http://schemas.microsoft.com/office/drawing/2014/main" id="{6A070471-DDED-43BA-B17A-31538DE62BE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1</xdr:col>
      <xdr:colOff>360</xdr:colOff>
      <xdr:row>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3" name="דיו 102">
              <a:extLst>
                <a:ext uri="{FF2B5EF4-FFF2-40B4-BE49-F238E27FC236}">
                  <a16:creationId xmlns:a16="http://schemas.microsoft.com/office/drawing/2014/main" id="{BBB9C962-A849-4E71-9208-E0D12355AE3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4" name="דיו 103">
              <a:extLst>
                <a:ext uri="{FF2B5EF4-FFF2-40B4-BE49-F238E27FC236}">
                  <a16:creationId xmlns:a16="http://schemas.microsoft.com/office/drawing/2014/main" id="{90882179-04B4-4365-88D2-92F5EA1CF83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5" name="דיו 104">
              <a:extLst>
                <a:ext uri="{FF2B5EF4-FFF2-40B4-BE49-F238E27FC236}">
                  <a16:creationId xmlns:a16="http://schemas.microsoft.com/office/drawing/2014/main" id="{2AD22C01-3920-4D6D-BE13-09F20EB2922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6" name="דיו 105">
              <a:extLst>
                <a:ext uri="{FF2B5EF4-FFF2-40B4-BE49-F238E27FC236}">
                  <a16:creationId xmlns:a16="http://schemas.microsoft.com/office/drawing/2014/main" id="{712491E8-AE58-4CBD-AD2A-414EFA35FB0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7" name="דיו 106">
              <a:extLst>
                <a:ext uri="{FF2B5EF4-FFF2-40B4-BE49-F238E27FC236}">
                  <a16:creationId xmlns:a16="http://schemas.microsoft.com/office/drawing/2014/main" id="{A68B5407-F1C7-4A9E-B182-DFC0F26EB5B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08" name="דיו 107">
              <a:extLst>
                <a:ext uri="{FF2B5EF4-FFF2-40B4-BE49-F238E27FC236}">
                  <a16:creationId xmlns:a16="http://schemas.microsoft.com/office/drawing/2014/main" id="{AB3143CA-0979-4B6E-98C8-5FD0041863A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09" name="דיו 108">
              <a:extLst>
                <a:ext uri="{FF2B5EF4-FFF2-40B4-BE49-F238E27FC236}">
                  <a16:creationId xmlns:a16="http://schemas.microsoft.com/office/drawing/2014/main" id="{64C63EEA-274F-458E-90C0-F1844A2C3AB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0" name="דיו 109">
              <a:extLst>
                <a:ext uri="{FF2B5EF4-FFF2-40B4-BE49-F238E27FC236}">
                  <a16:creationId xmlns:a16="http://schemas.microsoft.com/office/drawing/2014/main" id="{3E81A3F9-5F05-46F1-BA31-D0F9B129604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1" name="דיו 110">
              <a:extLst>
                <a:ext uri="{FF2B5EF4-FFF2-40B4-BE49-F238E27FC236}">
                  <a16:creationId xmlns:a16="http://schemas.microsoft.com/office/drawing/2014/main" id="{FF4B31F2-CCF6-4E6D-944D-B7F84CE7863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2" name="דיו 111">
              <a:extLst>
                <a:ext uri="{FF2B5EF4-FFF2-40B4-BE49-F238E27FC236}">
                  <a16:creationId xmlns:a16="http://schemas.microsoft.com/office/drawing/2014/main" id="{AC501E1C-B8FD-4CEB-A20B-DC39D8690CE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3" name="דיו 112">
              <a:extLst>
                <a:ext uri="{FF2B5EF4-FFF2-40B4-BE49-F238E27FC236}">
                  <a16:creationId xmlns:a16="http://schemas.microsoft.com/office/drawing/2014/main" id="{1A7987A6-5D1F-4EE9-ACC1-28CE6398830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4" name="דיו 113">
              <a:extLst>
                <a:ext uri="{FF2B5EF4-FFF2-40B4-BE49-F238E27FC236}">
                  <a16:creationId xmlns:a16="http://schemas.microsoft.com/office/drawing/2014/main" id="{4377B830-CFB2-4E4F-93E7-B6CC0F7147A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5" name="דיו 114">
              <a:extLst>
                <a:ext uri="{FF2B5EF4-FFF2-40B4-BE49-F238E27FC236}">
                  <a16:creationId xmlns:a16="http://schemas.microsoft.com/office/drawing/2014/main" id="{16DBAD10-EC1D-4478-8489-272ACD31F6D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6" name="דיו 115">
              <a:extLst>
                <a:ext uri="{FF2B5EF4-FFF2-40B4-BE49-F238E27FC236}">
                  <a16:creationId xmlns:a16="http://schemas.microsoft.com/office/drawing/2014/main" id="{C3DBA75F-CDE7-4A1C-ABF3-195BE0AD20E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7" name="דיו 116">
              <a:extLst>
                <a:ext uri="{FF2B5EF4-FFF2-40B4-BE49-F238E27FC236}">
                  <a16:creationId xmlns:a16="http://schemas.microsoft.com/office/drawing/2014/main" id="{B493E9CE-4379-456D-AC47-1760D1E9207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18" name="דיו 117">
              <a:extLst>
                <a:ext uri="{FF2B5EF4-FFF2-40B4-BE49-F238E27FC236}">
                  <a16:creationId xmlns:a16="http://schemas.microsoft.com/office/drawing/2014/main" id="{B62F3745-8D65-4CB0-9BEF-E1EAE3236E0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19" name="דיו 118">
              <a:extLst>
                <a:ext uri="{FF2B5EF4-FFF2-40B4-BE49-F238E27FC236}">
                  <a16:creationId xmlns:a16="http://schemas.microsoft.com/office/drawing/2014/main" id="{144A779C-7A01-4061-9F4C-2C41DDABFBC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0" name="דיו 119">
              <a:extLst>
                <a:ext uri="{FF2B5EF4-FFF2-40B4-BE49-F238E27FC236}">
                  <a16:creationId xmlns:a16="http://schemas.microsoft.com/office/drawing/2014/main" id="{5E7E2913-EA2F-40A5-A577-585C10AD232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1" name="דיו 120">
              <a:extLst>
                <a:ext uri="{FF2B5EF4-FFF2-40B4-BE49-F238E27FC236}">
                  <a16:creationId xmlns:a16="http://schemas.microsoft.com/office/drawing/2014/main" id="{F1527B4A-4AAD-49CE-BB00-B834C7AC17F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2" name="דיו 121">
              <a:extLst>
                <a:ext uri="{FF2B5EF4-FFF2-40B4-BE49-F238E27FC236}">
                  <a16:creationId xmlns:a16="http://schemas.microsoft.com/office/drawing/2014/main" id="{B098712E-C958-49C8-A3CB-0C0E5B7FF28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3" name="דיו 122">
              <a:extLst>
                <a:ext uri="{FF2B5EF4-FFF2-40B4-BE49-F238E27FC236}">
                  <a16:creationId xmlns:a16="http://schemas.microsoft.com/office/drawing/2014/main" id="{405C3FAE-F573-4A73-8676-B19B1E2FCAB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4" name="דיו 123">
              <a:extLst>
                <a:ext uri="{FF2B5EF4-FFF2-40B4-BE49-F238E27FC236}">
                  <a16:creationId xmlns:a16="http://schemas.microsoft.com/office/drawing/2014/main" id="{E7720BAC-3750-437D-B166-2A8A79151AD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5" name="דיו 124">
              <a:extLst>
                <a:ext uri="{FF2B5EF4-FFF2-40B4-BE49-F238E27FC236}">
                  <a16:creationId xmlns:a16="http://schemas.microsoft.com/office/drawing/2014/main" id="{74B1274F-BB25-4A01-962F-F3B84620F11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6" name="דיו 125">
              <a:extLst>
                <a:ext uri="{FF2B5EF4-FFF2-40B4-BE49-F238E27FC236}">
                  <a16:creationId xmlns:a16="http://schemas.microsoft.com/office/drawing/2014/main" id="{2B975C0D-B2B3-4479-B74A-1F576D0817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7" name="דיו 126">
              <a:extLst>
                <a:ext uri="{FF2B5EF4-FFF2-40B4-BE49-F238E27FC236}">
                  <a16:creationId xmlns:a16="http://schemas.microsoft.com/office/drawing/2014/main" id="{EFCBC5EE-A255-40F0-B79C-3447F1580DD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28" name="דיו 127">
              <a:extLst>
                <a:ext uri="{FF2B5EF4-FFF2-40B4-BE49-F238E27FC236}">
                  <a16:creationId xmlns:a16="http://schemas.microsoft.com/office/drawing/2014/main" id="{A9E83C59-7509-40CF-AFA0-BE56FED65DF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29" name="דיו 128">
              <a:extLst>
                <a:ext uri="{FF2B5EF4-FFF2-40B4-BE49-F238E27FC236}">
                  <a16:creationId xmlns:a16="http://schemas.microsoft.com/office/drawing/2014/main" id="{7A050DE2-E1D4-4B9C-ADD2-9A3EFEA7E1D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0" name="דיו 129">
              <a:extLst>
                <a:ext uri="{FF2B5EF4-FFF2-40B4-BE49-F238E27FC236}">
                  <a16:creationId xmlns:a16="http://schemas.microsoft.com/office/drawing/2014/main" id="{88358FD9-9973-4E7B-8CCD-F6FB9C1D0B2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1" name="דיו 130">
              <a:extLst>
                <a:ext uri="{FF2B5EF4-FFF2-40B4-BE49-F238E27FC236}">
                  <a16:creationId xmlns:a16="http://schemas.microsoft.com/office/drawing/2014/main" id="{23DB6C6A-D4DD-4FF5-84F9-81A0B2AACF9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2" name="דיו 131">
              <a:extLst>
                <a:ext uri="{FF2B5EF4-FFF2-40B4-BE49-F238E27FC236}">
                  <a16:creationId xmlns:a16="http://schemas.microsoft.com/office/drawing/2014/main" id="{3EA12BB8-6F63-4D87-937E-845BF3D2E7C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3" name="דיו 132">
              <a:extLst>
                <a:ext uri="{FF2B5EF4-FFF2-40B4-BE49-F238E27FC236}">
                  <a16:creationId xmlns:a16="http://schemas.microsoft.com/office/drawing/2014/main" id="{6FDE23E9-D714-4C3C-867F-4950B828257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4" name="דיו 133">
              <a:extLst>
                <a:ext uri="{FF2B5EF4-FFF2-40B4-BE49-F238E27FC236}">
                  <a16:creationId xmlns:a16="http://schemas.microsoft.com/office/drawing/2014/main" id="{3CDBF67F-F85E-401D-8E87-D658324C484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5" name="דיו 134">
              <a:extLst>
                <a:ext uri="{FF2B5EF4-FFF2-40B4-BE49-F238E27FC236}">
                  <a16:creationId xmlns:a16="http://schemas.microsoft.com/office/drawing/2014/main" id="{45AAE904-4751-42C0-9CDA-5F7E95FE44B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6" name="דיו 135">
              <a:extLst>
                <a:ext uri="{FF2B5EF4-FFF2-40B4-BE49-F238E27FC236}">
                  <a16:creationId xmlns:a16="http://schemas.microsoft.com/office/drawing/2014/main" id="{569518BA-C331-4075-B838-136B4D2EE54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7" name="דיו 136">
              <a:extLst>
                <a:ext uri="{FF2B5EF4-FFF2-40B4-BE49-F238E27FC236}">
                  <a16:creationId xmlns:a16="http://schemas.microsoft.com/office/drawing/2014/main" id="{4985855D-EDD5-4771-848E-A943D3D7125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38" name="דיו 137">
              <a:extLst>
                <a:ext uri="{FF2B5EF4-FFF2-40B4-BE49-F238E27FC236}">
                  <a16:creationId xmlns:a16="http://schemas.microsoft.com/office/drawing/2014/main" id="{27F5BF34-D84C-47ED-972E-442E1B6DB94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39" name="דיו 138">
              <a:extLst>
                <a:ext uri="{FF2B5EF4-FFF2-40B4-BE49-F238E27FC236}">
                  <a16:creationId xmlns:a16="http://schemas.microsoft.com/office/drawing/2014/main" id="{8E486392-3F9E-481D-90E7-E098674759C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0" name="דיו 139">
              <a:extLst>
                <a:ext uri="{FF2B5EF4-FFF2-40B4-BE49-F238E27FC236}">
                  <a16:creationId xmlns:a16="http://schemas.microsoft.com/office/drawing/2014/main" id="{BD929986-4D8E-42A6-8661-D2DEC776F04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1" name="דיו 140">
              <a:extLst>
                <a:ext uri="{FF2B5EF4-FFF2-40B4-BE49-F238E27FC236}">
                  <a16:creationId xmlns:a16="http://schemas.microsoft.com/office/drawing/2014/main" id="{D9C6E18C-4468-4AC9-823E-FF78CB87D63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2" name="דיו 141">
              <a:extLst>
                <a:ext uri="{FF2B5EF4-FFF2-40B4-BE49-F238E27FC236}">
                  <a16:creationId xmlns:a16="http://schemas.microsoft.com/office/drawing/2014/main" id="{1C94EDA9-1636-41ED-8349-EFA1DEBB72E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3" name="דיו 142">
              <a:extLst>
                <a:ext uri="{FF2B5EF4-FFF2-40B4-BE49-F238E27FC236}">
                  <a16:creationId xmlns:a16="http://schemas.microsoft.com/office/drawing/2014/main" id="{99C70523-ABFF-4958-B401-C1A56B60BBB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4" name="דיו 143">
              <a:extLst>
                <a:ext uri="{FF2B5EF4-FFF2-40B4-BE49-F238E27FC236}">
                  <a16:creationId xmlns:a16="http://schemas.microsoft.com/office/drawing/2014/main" id="{B2D4F16F-DB26-4E0F-91C1-949E0C430AC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5" name="דיו 144">
              <a:extLst>
                <a:ext uri="{FF2B5EF4-FFF2-40B4-BE49-F238E27FC236}">
                  <a16:creationId xmlns:a16="http://schemas.microsoft.com/office/drawing/2014/main" id="{79E0A00B-1169-4A6D-8879-5E0FBC582D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6" name="דיו 145">
              <a:extLst>
                <a:ext uri="{FF2B5EF4-FFF2-40B4-BE49-F238E27FC236}">
                  <a16:creationId xmlns:a16="http://schemas.microsoft.com/office/drawing/2014/main" id="{2BC63745-5270-4D22-BF81-5EF71F4F58E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7" name="דיו 146">
              <a:extLst>
                <a:ext uri="{FF2B5EF4-FFF2-40B4-BE49-F238E27FC236}">
                  <a16:creationId xmlns:a16="http://schemas.microsoft.com/office/drawing/2014/main" id="{A2EAEE20-B077-427E-8530-C118DCFC6CF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48" name="דיו 147">
              <a:extLst>
                <a:ext uri="{FF2B5EF4-FFF2-40B4-BE49-F238E27FC236}">
                  <a16:creationId xmlns:a16="http://schemas.microsoft.com/office/drawing/2014/main" id="{A6D7081C-1120-422F-B81F-84DC518B422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49" name="דיו 148">
              <a:extLst>
                <a:ext uri="{FF2B5EF4-FFF2-40B4-BE49-F238E27FC236}">
                  <a16:creationId xmlns:a16="http://schemas.microsoft.com/office/drawing/2014/main" id="{25294BDF-F9B8-4E76-A836-EEDA175CA9A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0" name="דיו 149">
              <a:extLst>
                <a:ext uri="{FF2B5EF4-FFF2-40B4-BE49-F238E27FC236}">
                  <a16:creationId xmlns:a16="http://schemas.microsoft.com/office/drawing/2014/main" id="{E0CCE8F2-5F5D-4480-960D-4D3158F9D89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1" name="דיו 150">
              <a:extLst>
                <a:ext uri="{FF2B5EF4-FFF2-40B4-BE49-F238E27FC236}">
                  <a16:creationId xmlns:a16="http://schemas.microsoft.com/office/drawing/2014/main" id="{BDE13D31-B44A-489C-A7ED-1B8DF415001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2" name="דיו 151">
              <a:extLst>
                <a:ext uri="{FF2B5EF4-FFF2-40B4-BE49-F238E27FC236}">
                  <a16:creationId xmlns:a16="http://schemas.microsoft.com/office/drawing/2014/main" id="{E902F1CC-9F06-4A59-8B60-1CBC3D44A6E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3" name="דיו 152">
              <a:extLst>
                <a:ext uri="{FF2B5EF4-FFF2-40B4-BE49-F238E27FC236}">
                  <a16:creationId xmlns:a16="http://schemas.microsoft.com/office/drawing/2014/main" id="{2B5C23A2-B5F7-41E4-99B2-B24427C6DC2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4" name="דיו 153">
              <a:extLst>
                <a:ext uri="{FF2B5EF4-FFF2-40B4-BE49-F238E27FC236}">
                  <a16:creationId xmlns:a16="http://schemas.microsoft.com/office/drawing/2014/main" id="{A71D8338-6809-442B-93B6-1B313ACA6EC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5" name="דיו 154">
              <a:extLst>
                <a:ext uri="{FF2B5EF4-FFF2-40B4-BE49-F238E27FC236}">
                  <a16:creationId xmlns:a16="http://schemas.microsoft.com/office/drawing/2014/main" id="{A36CE472-CF64-4E3D-8B27-47C3EA0F532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6" name="דיו 155">
              <a:extLst>
                <a:ext uri="{FF2B5EF4-FFF2-40B4-BE49-F238E27FC236}">
                  <a16:creationId xmlns:a16="http://schemas.microsoft.com/office/drawing/2014/main" id="{6D238852-045D-46B1-AE31-DD7BCC70859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7" name="דיו 156">
              <a:extLst>
                <a:ext uri="{FF2B5EF4-FFF2-40B4-BE49-F238E27FC236}">
                  <a16:creationId xmlns:a16="http://schemas.microsoft.com/office/drawing/2014/main" id="{76DD2C8D-9AEE-4219-9FE1-2D44A8B75DC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8" name="דיו 157">
              <a:extLst>
                <a:ext uri="{FF2B5EF4-FFF2-40B4-BE49-F238E27FC236}">
                  <a16:creationId xmlns:a16="http://schemas.microsoft.com/office/drawing/2014/main" id="{C5C22BA9-E1A2-4238-A065-5B9CF21A5F5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59" name="דיו 158">
              <a:extLst>
                <a:ext uri="{FF2B5EF4-FFF2-40B4-BE49-F238E27FC236}">
                  <a16:creationId xmlns:a16="http://schemas.microsoft.com/office/drawing/2014/main" id="{FCDD5178-2617-45E5-B9F2-1003F64C374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0" name="דיו 159">
              <a:extLst>
                <a:ext uri="{FF2B5EF4-FFF2-40B4-BE49-F238E27FC236}">
                  <a16:creationId xmlns:a16="http://schemas.microsoft.com/office/drawing/2014/main" id="{13350754-38CA-4D42-9253-6B2279472E2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1" name="דיו 160">
              <a:extLst>
                <a:ext uri="{FF2B5EF4-FFF2-40B4-BE49-F238E27FC236}">
                  <a16:creationId xmlns:a16="http://schemas.microsoft.com/office/drawing/2014/main" id="{8DFD6EEE-6752-477C-8C7A-70C1331846D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2" name="דיו 161">
              <a:extLst>
                <a:ext uri="{FF2B5EF4-FFF2-40B4-BE49-F238E27FC236}">
                  <a16:creationId xmlns:a16="http://schemas.microsoft.com/office/drawing/2014/main" id="{79FBDDF1-529B-4E32-87AC-EE958A09072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3" name="דיו 162">
              <a:extLst>
                <a:ext uri="{FF2B5EF4-FFF2-40B4-BE49-F238E27FC236}">
                  <a16:creationId xmlns:a16="http://schemas.microsoft.com/office/drawing/2014/main" id="{9D30E362-8E40-4F38-9983-CB3F99AF9A9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4" name="דיו 163">
              <a:extLst>
                <a:ext uri="{FF2B5EF4-FFF2-40B4-BE49-F238E27FC236}">
                  <a16:creationId xmlns:a16="http://schemas.microsoft.com/office/drawing/2014/main" id="{4FBE9ACC-5259-4E12-9ABB-B91D07C97CA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5" name="דיו 164">
              <a:extLst>
                <a:ext uri="{FF2B5EF4-FFF2-40B4-BE49-F238E27FC236}">
                  <a16:creationId xmlns:a16="http://schemas.microsoft.com/office/drawing/2014/main" id="{DCC10EDA-F3C6-4FB0-92EE-8DDE88BDBFC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6" name="דיו 165">
              <a:extLst>
                <a:ext uri="{FF2B5EF4-FFF2-40B4-BE49-F238E27FC236}">
                  <a16:creationId xmlns:a16="http://schemas.microsoft.com/office/drawing/2014/main" id="{A0DE96B3-7139-49B8-9CD8-0C87FDED717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7" name="דיו 166">
              <a:extLst>
                <a:ext uri="{FF2B5EF4-FFF2-40B4-BE49-F238E27FC236}">
                  <a16:creationId xmlns:a16="http://schemas.microsoft.com/office/drawing/2014/main" id="{5E755BD8-A303-40E5-96F0-F6D0DD54130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68" name="דיו 167">
              <a:extLst>
                <a:ext uri="{FF2B5EF4-FFF2-40B4-BE49-F238E27FC236}">
                  <a16:creationId xmlns:a16="http://schemas.microsoft.com/office/drawing/2014/main" id="{0592DA79-467A-4628-B37D-2DFCBB08F1D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69" name="דיו 168">
              <a:extLst>
                <a:ext uri="{FF2B5EF4-FFF2-40B4-BE49-F238E27FC236}">
                  <a16:creationId xmlns:a16="http://schemas.microsoft.com/office/drawing/2014/main" id="{430CE687-7118-4F38-8D4D-ACC9C1AD358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0" name="דיו 169">
              <a:extLst>
                <a:ext uri="{FF2B5EF4-FFF2-40B4-BE49-F238E27FC236}">
                  <a16:creationId xmlns:a16="http://schemas.microsoft.com/office/drawing/2014/main" id="{D7C370B2-E39D-47FF-922A-D63FB1AD7CE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1" name="דיו 170">
              <a:extLst>
                <a:ext uri="{FF2B5EF4-FFF2-40B4-BE49-F238E27FC236}">
                  <a16:creationId xmlns:a16="http://schemas.microsoft.com/office/drawing/2014/main" id="{5DEB0DCC-F064-4EE5-A601-E6923AD9BA6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2" name="דיו 171">
              <a:extLst>
                <a:ext uri="{FF2B5EF4-FFF2-40B4-BE49-F238E27FC236}">
                  <a16:creationId xmlns:a16="http://schemas.microsoft.com/office/drawing/2014/main" id="{94F85688-1ABF-40C6-A46D-C80E57D8F31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3" name="דיו 172">
              <a:extLst>
                <a:ext uri="{FF2B5EF4-FFF2-40B4-BE49-F238E27FC236}">
                  <a16:creationId xmlns:a16="http://schemas.microsoft.com/office/drawing/2014/main" id="{A18D3A9C-F4DD-46C3-82BE-2CF0EF4C90F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4" name="דיו 173">
              <a:extLst>
                <a:ext uri="{FF2B5EF4-FFF2-40B4-BE49-F238E27FC236}">
                  <a16:creationId xmlns:a16="http://schemas.microsoft.com/office/drawing/2014/main" id="{12AD1788-86B0-4587-842C-C90E423D919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5" name="דיו 174">
              <a:extLst>
                <a:ext uri="{FF2B5EF4-FFF2-40B4-BE49-F238E27FC236}">
                  <a16:creationId xmlns:a16="http://schemas.microsoft.com/office/drawing/2014/main" id="{2E024D64-0A96-4E50-A1E2-64A337E78F1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6" name="דיו 175">
              <a:extLst>
                <a:ext uri="{FF2B5EF4-FFF2-40B4-BE49-F238E27FC236}">
                  <a16:creationId xmlns:a16="http://schemas.microsoft.com/office/drawing/2014/main" id="{44316F61-3064-4D45-BF92-C1E7CA9552C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7" name="דיו 176">
              <a:extLst>
                <a:ext uri="{FF2B5EF4-FFF2-40B4-BE49-F238E27FC236}">
                  <a16:creationId xmlns:a16="http://schemas.microsoft.com/office/drawing/2014/main" id="{987291CF-C133-4D67-B216-D7463F2DAB9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78" name="דיו 177">
              <a:extLst>
                <a:ext uri="{FF2B5EF4-FFF2-40B4-BE49-F238E27FC236}">
                  <a16:creationId xmlns:a16="http://schemas.microsoft.com/office/drawing/2014/main" id="{F383E011-E60C-4D71-B7AB-EFA456A9E93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79" name="דיו 178">
              <a:extLst>
                <a:ext uri="{FF2B5EF4-FFF2-40B4-BE49-F238E27FC236}">
                  <a16:creationId xmlns:a16="http://schemas.microsoft.com/office/drawing/2014/main" id="{93894E2A-6439-47FE-BDDE-F139536EF4B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0" name="דיו 179">
              <a:extLst>
                <a:ext uri="{FF2B5EF4-FFF2-40B4-BE49-F238E27FC236}">
                  <a16:creationId xmlns:a16="http://schemas.microsoft.com/office/drawing/2014/main" id="{2DF28E18-54A6-4614-8BF2-B43C8B13907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1" name="דיו 180">
              <a:extLst>
                <a:ext uri="{FF2B5EF4-FFF2-40B4-BE49-F238E27FC236}">
                  <a16:creationId xmlns:a16="http://schemas.microsoft.com/office/drawing/2014/main" id="{526ECC7A-6E46-4516-82B0-579A3993DE1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2" name="דיו 181">
              <a:extLst>
                <a:ext uri="{FF2B5EF4-FFF2-40B4-BE49-F238E27FC236}">
                  <a16:creationId xmlns:a16="http://schemas.microsoft.com/office/drawing/2014/main" id="{07981AED-D43F-4C89-B00A-036C69FFC68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3" name="דיו 182">
              <a:extLst>
                <a:ext uri="{FF2B5EF4-FFF2-40B4-BE49-F238E27FC236}">
                  <a16:creationId xmlns:a16="http://schemas.microsoft.com/office/drawing/2014/main" id="{2C9B5F1A-2F6B-4253-8344-C449CFBF3DE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4" name="דיו 183">
              <a:extLst>
                <a:ext uri="{FF2B5EF4-FFF2-40B4-BE49-F238E27FC236}">
                  <a16:creationId xmlns:a16="http://schemas.microsoft.com/office/drawing/2014/main" id="{4D5B9146-DED0-45E7-8D89-22F70829064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5" name="דיו 184">
              <a:extLst>
                <a:ext uri="{FF2B5EF4-FFF2-40B4-BE49-F238E27FC236}">
                  <a16:creationId xmlns:a16="http://schemas.microsoft.com/office/drawing/2014/main" id="{BA531A59-1ECE-4928-B61F-7279C6D5BAA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6" name="דיו 185">
              <a:extLst>
                <a:ext uri="{FF2B5EF4-FFF2-40B4-BE49-F238E27FC236}">
                  <a16:creationId xmlns:a16="http://schemas.microsoft.com/office/drawing/2014/main" id="{370BE5B8-0790-4423-838E-0EA9E396BDB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7" name="דיו 186">
              <a:extLst>
                <a:ext uri="{FF2B5EF4-FFF2-40B4-BE49-F238E27FC236}">
                  <a16:creationId xmlns:a16="http://schemas.microsoft.com/office/drawing/2014/main" id="{4ECE00ED-B2F9-4C33-854E-2D9AC0A3058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88" name="דיו 187">
              <a:extLst>
                <a:ext uri="{FF2B5EF4-FFF2-40B4-BE49-F238E27FC236}">
                  <a16:creationId xmlns:a16="http://schemas.microsoft.com/office/drawing/2014/main" id="{32E66B1E-CE3E-4F35-8FCB-60DEAB27F24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89" name="דיו 188">
              <a:extLst>
                <a:ext uri="{FF2B5EF4-FFF2-40B4-BE49-F238E27FC236}">
                  <a16:creationId xmlns:a16="http://schemas.microsoft.com/office/drawing/2014/main" id="{1F76DDAC-619D-4075-A089-EC4277A4698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0" name="דיו 189">
              <a:extLst>
                <a:ext uri="{FF2B5EF4-FFF2-40B4-BE49-F238E27FC236}">
                  <a16:creationId xmlns:a16="http://schemas.microsoft.com/office/drawing/2014/main" id="{F03F62C2-B34F-4777-97F9-9E9D349985A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1" name="דיו 190">
              <a:extLst>
                <a:ext uri="{FF2B5EF4-FFF2-40B4-BE49-F238E27FC236}">
                  <a16:creationId xmlns:a16="http://schemas.microsoft.com/office/drawing/2014/main" id="{1E017890-7C3B-4156-ADDB-4E25F13DC7C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2" name="דיו 191">
              <a:extLst>
                <a:ext uri="{FF2B5EF4-FFF2-40B4-BE49-F238E27FC236}">
                  <a16:creationId xmlns:a16="http://schemas.microsoft.com/office/drawing/2014/main" id="{5F67DD92-D901-497E-B60C-6959623D06C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3" name="דיו 192">
              <a:extLst>
                <a:ext uri="{FF2B5EF4-FFF2-40B4-BE49-F238E27FC236}">
                  <a16:creationId xmlns:a16="http://schemas.microsoft.com/office/drawing/2014/main" id="{6B536062-195D-4E78-AD54-BB0AFA71BF4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4" name="דיו 193">
              <a:extLst>
                <a:ext uri="{FF2B5EF4-FFF2-40B4-BE49-F238E27FC236}">
                  <a16:creationId xmlns:a16="http://schemas.microsoft.com/office/drawing/2014/main" id="{C2FA3404-3D92-4795-AC43-CA834B95DBE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5" name="דיו 194">
              <a:extLst>
                <a:ext uri="{FF2B5EF4-FFF2-40B4-BE49-F238E27FC236}">
                  <a16:creationId xmlns:a16="http://schemas.microsoft.com/office/drawing/2014/main" id="{C631996F-0284-4515-8AA3-E38191B2952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6" name="דיו 195">
              <a:extLst>
                <a:ext uri="{FF2B5EF4-FFF2-40B4-BE49-F238E27FC236}">
                  <a16:creationId xmlns:a16="http://schemas.microsoft.com/office/drawing/2014/main" id="{1C7F1C7A-B650-49C7-868A-59940F02B82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7" name="דיו 196">
              <a:extLst>
                <a:ext uri="{FF2B5EF4-FFF2-40B4-BE49-F238E27FC236}">
                  <a16:creationId xmlns:a16="http://schemas.microsoft.com/office/drawing/2014/main" id="{5BD5E498-A703-4934-9AE5-DE37D1587D0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8" name="דיו 197">
              <a:extLst>
                <a:ext uri="{FF2B5EF4-FFF2-40B4-BE49-F238E27FC236}">
                  <a16:creationId xmlns:a16="http://schemas.microsoft.com/office/drawing/2014/main" id="{DA9AD03A-4658-4054-B509-24A79A689C7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199" name="דיו 198">
              <a:extLst>
                <a:ext uri="{FF2B5EF4-FFF2-40B4-BE49-F238E27FC236}">
                  <a16:creationId xmlns:a16="http://schemas.microsoft.com/office/drawing/2014/main" id="{2A575DA4-95C6-434D-9DE3-ABD3AC67552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0" name="דיו 199">
              <a:extLst>
                <a:ext uri="{FF2B5EF4-FFF2-40B4-BE49-F238E27FC236}">
                  <a16:creationId xmlns:a16="http://schemas.microsoft.com/office/drawing/2014/main" id="{6AB0E56C-198C-47D3-AD49-B9BEEBA3449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1" name="דיו 200">
              <a:extLst>
                <a:ext uri="{FF2B5EF4-FFF2-40B4-BE49-F238E27FC236}">
                  <a16:creationId xmlns:a16="http://schemas.microsoft.com/office/drawing/2014/main" id="{92342E70-2FCD-445D-9DAB-F9F4B3A3276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2" name="דיו 201">
              <a:extLst>
                <a:ext uri="{FF2B5EF4-FFF2-40B4-BE49-F238E27FC236}">
                  <a16:creationId xmlns:a16="http://schemas.microsoft.com/office/drawing/2014/main" id="{356DA5F6-0D9F-4AC0-A074-3C437A02C51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3" name="דיו 202">
              <a:extLst>
                <a:ext uri="{FF2B5EF4-FFF2-40B4-BE49-F238E27FC236}">
                  <a16:creationId xmlns:a16="http://schemas.microsoft.com/office/drawing/2014/main" id="{6949D08E-6B4C-4D97-8AD4-A82CBADFA5B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4" name="דיו 203">
              <a:extLst>
                <a:ext uri="{FF2B5EF4-FFF2-40B4-BE49-F238E27FC236}">
                  <a16:creationId xmlns:a16="http://schemas.microsoft.com/office/drawing/2014/main" id="{D44CC344-4CD6-491E-A5DE-597EA7491E7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5" name="דיו 204">
              <a:extLst>
                <a:ext uri="{FF2B5EF4-FFF2-40B4-BE49-F238E27FC236}">
                  <a16:creationId xmlns:a16="http://schemas.microsoft.com/office/drawing/2014/main" id="{3F84B11E-18D2-4115-A1BB-8193A4684D8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6" name="דיו 205">
              <a:extLst>
                <a:ext uri="{FF2B5EF4-FFF2-40B4-BE49-F238E27FC236}">
                  <a16:creationId xmlns:a16="http://schemas.microsoft.com/office/drawing/2014/main" id="{30D71E27-853D-4334-89D8-4FAC2C5DA02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7" name="דיו 206">
              <a:extLst>
                <a:ext uri="{FF2B5EF4-FFF2-40B4-BE49-F238E27FC236}">
                  <a16:creationId xmlns:a16="http://schemas.microsoft.com/office/drawing/2014/main" id="{EF3849D6-494B-4D96-B7BA-D1FFC327CEC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08" name="דיו 207">
              <a:extLst>
                <a:ext uri="{FF2B5EF4-FFF2-40B4-BE49-F238E27FC236}">
                  <a16:creationId xmlns:a16="http://schemas.microsoft.com/office/drawing/2014/main" id="{59151FCB-3218-432F-B43F-084835C72A0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09" name="דיו 208">
              <a:extLst>
                <a:ext uri="{FF2B5EF4-FFF2-40B4-BE49-F238E27FC236}">
                  <a16:creationId xmlns:a16="http://schemas.microsoft.com/office/drawing/2014/main" id="{38F6BF2A-9BA0-42A6-B79C-003EBF4D29F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0" name="דיו 209">
              <a:extLst>
                <a:ext uri="{FF2B5EF4-FFF2-40B4-BE49-F238E27FC236}">
                  <a16:creationId xmlns:a16="http://schemas.microsoft.com/office/drawing/2014/main" id="{19980564-00D2-4A29-8B25-B683372C8CD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1" name="דיו 210">
              <a:extLst>
                <a:ext uri="{FF2B5EF4-FFF2-40B4-BE49-F238E27FC236}">
                  <a16:creationId xmlns:a16="http://schemas.microsoft.com/office/drawing/2014/main" id="{1F358C14-C2EC-478A-908D-3BD903EA8F5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2" name="דיו 211">
              <a:extLst>
                <a:ext uri="{FF2B5EF4-FFF2-40B4-BE49-F238E27FC236}">
                  <a16:creationId xmlns:a16="http://schemas.microsoft.com/office/drawing/2014/main" id="{ADDEB549-AAD2-4BC8-AA65-69D1F258F24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3" name="דיו 212">
              <a:extLst>
                <a:ext uri="{FF2B5EF4-FFF2-40B4-BE49-F238E27FC236}">
                  <a16:creationId xmlns:a16="http://schemas.microsoft.com/office/drawing/2014/main" id="{1AAA38E5-C1EB-4E4F-88B5-15B57FDF768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4" name="דיו 213">
              <a:extLst>
                <a:ext uri="{FF2B5EF4-FFF2-40B4-BE49-F238E27FC236}">
                  <a16:creationId xmlns:a16="http://schemas.microsoft.com/office/drawing/2014/main" id="{ABF8EC54-5477-47F2-8FA7-1711F9DF386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5" name="דיו 214">
              <a:extLst>
                <a:ext uri="{FF2B5EF4-FFF2-40B4-BE49-F238E27FC236}">
                  <a16:creationId xmlns:a16="http://schemas.microsoft.com/office/drawing/2014/main" id="{1FD04EC3-DF13-40D1-ACA7-267BDF3BCD3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6" name="דיו 215">
              <a:extLst>
                <a:ext uri="{FF2B5EF4-FFF2-40B4-BE49-F238E27FC236}">
                  <a16:creationId xmlns:a16="http://schemas.microsoft.com/office/drawing/2014/main" id="{8F4C0E9C-83B4-4FF1-A0A3-846E3AD2CAB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7" name="דיו 216">
              <a:extLst>
                <a:ext uri="{FF2B5EF4-FFF2-40B4-BE49-F238E27FC236}">
                  <a16:creationId xmlns:a16="http://schemas.microsoft.com/office/drawing/2014/main" id="{FF9C2837-9DB7-4364-9FB3-65C12882A6B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18" name="דיו 217">
              <a:extLst>
                <a:ext uri="{FF2B5EF4-FFF2-40B4-BE49-F238E27FC236}">
                  <a16:creationId xmlns:a16="http://schemas.microsoft.com/office/drawing/2014/main" id="{4E4FCF95-6F9A-4614-BDBF-D01FAD30B3E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19" name="דיו 218">
              <a:extLst>
                <a:ext uri="{FF2B5EF4-FFF2-40B4-BE49-F238E27FC236}">
                  <a16:creationId xmlns:a16="http://schemas.microsoft.com/office/drawing/2014/main" id="{4ADD71B1-6C1D-4276-8C1F-00DFD64DB68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0" name="דיו 219">
              <a:extLst>
                <a:ext uri="{FF2B5EF4-FFF2-40B4-BE49-F238E27FC236}">
                  <a16:creationId xmlns:a16="http://schemas.microsoft.com/office/drawing/2014/main" id="{629FA5F5-23E8-4C51-A90E-4A2EB1DBA5C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1" name="דיו 220">
              <a:extLst>
                <a:ext uri="{FF2B5EF4-FFF2-40B4-BE49-F238E27FC236}">
                  <a16:creationId xmlns:a16="http://schemas.microsoft.com/office/drawing/2014/main" id="{70CA2B34-A006-45F5-9E2F-D8B6DB6B6A6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2" name="דיו 221">
              <a:extLst>
                <a:ext uri="{FF2B5EF4-FFF2-40B4-BE49-F238E27FC236}">
                  <a16:creationId xmlns:a16="http://schemas.microsoft.com/office/drawing/2014/main" id="{B8615D28-943E-415F-943D-51573FB6022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3" name="דיו 222">
              <a:extLst>
                <a:ext uri="{FF2B5EF4-FFF2-40B4-BE49-F238E27FC236}">
                  <a16:creationId xmlns:a16="http://schemas.microsoft.com/office/drawing/2014/main" id="{B7EA165C-7CFD-4C5C-94D0-451700504E9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4" name="דיו 223">
              <a:extLst>
                <a:ext uri="{FF2B5EF4-FFF2-40B4-BE49-F238E27FC236}">
                  <a16:creationId xmlns:a16="http://schemas.microsoft.com/office/drawing/2014/main" id="{3E369343-5A2A-41F3-8973-1CF1EB0620A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5" name="דיו 224">
              <a:extLst>
                <a:ext uri="{FF2B5EF4-FFF2-40B4-BE49-F238E27FC236}">
                  <a16:creationId xmlns:a16="http://schemas.microsoft.com/office/drawing/2014/main" id="{9D30A090-70C5-4300-925B-3E48BCDFFFA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6" name="דיו 225">
              <a:extLst>
                <a:ext uri="{FF2B5EF4-FFF2-40B4-BE49-F238E27FC236}">
                  <a16:creationId xmlns:a16="http://schemas.microsoft.com/office/drawing/2014/main" id="{798D74FC-CB44-4C05-BBF0-F1BCEC9984B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7" name="דיו 226">
              <a:extLst>
                <a:ext uri="{FF2B5EF4-FFF2-40B4-BE49-F238E27FC236}">
                  <a16:creationId xmlns:a16="http://schemas.microsoft.com/office/drawing/2014/main" id="{5A2EF195-9279-43D0-B69B-37C99B87755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28" name="דיו 227">
              <a:extLst>
                <a:ext uri="{FF2B5EF4-FFF2-40B4-BE49-F238E27FC236}">
                  <a16:creationId xmlns:a16="http://schemas.microsoft.com/office/drawing/2014/main" id="{7EBE8A52-DC6E-45A3-92EC-9497FA9245B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29" name="דיו 228">
              <a:extLst>
                <a:ext uri="{FF2B5EF4-FFF2-40B4-BE49-F238E27FC236}">
                  <a16:creationId xmlns:a16="http://schemas.microsoft.com/office/drawing/2014/main" id="{91822806-C509-4CF4-A264-6010F50468B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0" name="דיו 229">
              <a:extLst>
                <a:ext uri="{FF2B5EF4-FFF2-40B4-BE49-F238E27FC236}">
                  <a16:creationId xmlns:a16="http://schemas.microsoft.com/office/drawing/2014/main" id="{CA573070-93CD-4D73-B8A1-E900678327D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1" name="דיו 230">
              <a:extLst>
                <a:ext uri="{FF2B5EF4-FFF2-40B4-BE49-F238E27FC236}">
                  <a16:creationId xmlns:a16="http://schemas.microsoft.com/office/drawing/2014/main" id="{02CF2CEA-17AE-4D83-85E0-131900C881F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2" name="דיו 231">
              <a:extLst>
                <a:ext uri="{FF2B5EF4-FFF2-40B4-BE49-F238E27FC236}">
                  <a16:creationId xmlns:a16="http://schemas.microsoft.com/office/drawing/2014/main" id="{F6E5B876-556D-4403-BF34-6DC1DDE60D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3" name="דיו 232">
              <a:extLst>
                <a:ext uri="{FF2B5EF4-FFF2-40B4-BE49-F238E27FC236}">
                  <a16:creationId xmlns:a16="http://schemas.microsoft.com/office/drawing/2014/main" id="{77AEC3EC-DA8A-4203-9F7F-AE1493D5426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4" name="דיו 233">
              <a:extLst>
                <a:ext uri="{FF2B5EF4-FFF2-40B4-BE49-F238E27FC236}">
                  <a16:creationId xmlns:a16="http://schemas.microsoft.com/office/drawing/2014/main" id="{2DC50244-8761-45CE-ACD2-50ACA37FF0D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5" name="דיו 234">
              <a:extLst>
                <a:ext uri="{FF2B5EF4-FFF2-40B4-BE49-F238E27FC236}">
                  <a16:creationId xmlns:a16="http://schemas.microsoft.com/office/drawing/2014/main" id="{D3D6D184-A8E6-41E1-8E9D-B97BF50DB38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6" name="דיו 235">
              <a:extLst>
                <a:ext uri="{FF2B5EF4-FFF2-40B4-BE49-F238E27FC236}">
                  <a16:creationId xmlns:a16="http://schemas.microsoft.com/office/drawing/2014/main" id="{9D61ADD3-D363-47FF-B1A4-EB712E56B2A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7" name="דיו 236">
              <a:extLst>
                <a:ext uri="{FF2B5EF4-FFF2-40B4-BE49-F238E27FC236}">
                  <a16:creationId xmlns:a16="http://schemas.microsoft.com/office/drawing/2014/main" id="{905E83F4-A8B0-4422-B9B6-18513B85DD6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38" name="דיו 237">
              <a:extLst>
                <a:ext uri="{FF2B5EF4-FFF2-40B4-BE49-F238E27FC236}">
                  <a16:creationId xmlns:a16="http://schemas.microsoft.com/office/drawing/2014/main" id="{8DDB447C-4A6C-4082-8ADE-1E32D3C1EE8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39" name="דיו 238">
              <a:extLst>
                <a:ext uri="{FF2B5EF4-FFF2-40B4-BE49-F238E27FC236}">
                  <a16:creationId xmlns:a16="http://schemas.microsoft.com/office/drawing/2014/main" id="{FD924D33-BEA7-44FE-8C86-8937F8BCE60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0" name="דיו 239">
              <a:extLst>
                <a:ext uri="{FF2B5EF4-FFF2-40B4-BE49-F238E27FC236}">
                  <a16:creationId xmlns:a16="http://schemas.microsoft.com/office/drawing/2014/main" id="{4C3AC1F3-5690-4E2C-8E5B-85B5AB5E66F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1" name="דיו 240">
              <a:extLst>
                <a:ext uri="{FF2B5EF4-FFF2-40B4-BE49-F238E27FC236}">
                  <a16:creationId xmlns:a16="http://schemas.microsoft.com/office/drawing/2014/main" id="{2CE992F3-3429-42E4-AF16-27B2D6AC564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2" name="דיו 241">
              <a:extLst>
                <a:ext uri="{FF2B5EF4-FFF2-40B4-BE49-F238E27FC236}">
                  <a16:creationId xmlns:a16="http://schemas.microsoft.com/office/drawing/2014/main" id="{59DD904D-1859-413C-99FF-F5A0370368E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3" name="דיו 242">
              <a:extLst>
                <a:ext uri="{FF2B5EF4-FFF2-40B4-BE49-F238E27FC236}">
                  <a16:creationId xmlns:a16="http://schemas.microsoft.com/office/drawing/2014/main" id="{5861E6D8-E818-4EAA-A063-1B6645DC3F5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4" name="דיו 243">
              <a:extLst>
                <a:ext uri="{FF2B5EF4-FFF2-40B4-BE49-F238E27FC236}">
                  <a16:creationId xmlns:a16="http://schemas.microsoft.com/office/drawing/2014/main" id="{81ACE10E-E74F-4996-BF8E-BE1CD280C8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5" name="דיו 244">
              <a:extLst>
                <a:ext uri="{FF2B5EF4-FFF2-40B4-BE49-F238E27FC236}">
                  <a16:creationId xmlns:a16="http://schemas.microsoft.com/office/drawing/2014/main" id="{7C859642-0BA2-4BF8-A886-1B7BF1D7330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6" name="דיו 245">
              <a:extLst>
                <a:ext uri="{FF2B5EF4-FFF2-40B4-BE49-F238E27FC236}">
                  <a16:creationId xmlns:a16="http://schemas.microsoft.com/office/drawing/2014/main" id="{024511BD-7503-4B54-A516-4A89028DD5B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7" name="דיו 246">
              <a:extLst>
                <a:ext uri="{FF2B5EF4-FFF2-40B4-BE49-F238E27FC236}">
                  <a16:creationId xmlns:a16="http://schemas.microsoft.com/office/drawing/2014/main" id="{A6DB8F37-0FD6-4E62-806D-2F4A4F14B14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48" name="דיו 247">
              <a:extLst>
                <a:ext uri="{FF2B5EF4-FFF2-40B4-BE49-F238E27FC236}">
                  <a16:creationId xmlns:a16="http://schemas.microsoft.com/office/drawing/2014/main" id="{5CA38920-DF81-44CF-BBE5-12C805CC3B6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49" name="דיו 248">
              <a:extLst>
                <a:ext uri="{FF2B5EF4-FFF2-40B4-BE49-F238E27FC236}">
                  <a16:creationId xmlns:a16="http://schemas.microsoft.com/office/drawing/2014/main" id="{D95FAA42-71A8-46C8-9887-AD27C87A43B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0" name="דיו 249">
              <a:extLst>
                <a:ext uri="{FF2B5EF4-FFF2-40B4-BE49-F238E27FC236}">
                  <a16:creationId xmlns:a16="http://schemas.microsoft.com/office/drawing/2014/main" id="{FBACC081-5F76-4724-93AD-F0126FC866B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1" name="דיו 250">
              <a:extLst>
                <a:ext uri="{FF2B5EF4-FFF2-40B4-BE49-F238E27FC236}">
                  <a16:creationId xmlns:a16="http://schemas.microsoft.com/office/drawing/2014/main" id="{21676C7A-57DA-43F1-849B-13B70BAEBD7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2" name="דיו 251">
              <a:extLst>
                <a:ext uri="{FF2B5EF4-FFF2-40B4-BE49-F238E27FC236}">
                  <a16:creationId xmlns:a16="http://schemas.microsoft.com/office/drawing/2014/main" id="{95497FDB-A927-4886-BCE6-8722EB7D49C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3" name="דיו 252">
              <a:extLst>
                <a:ext uri="{FF2B5EF4-FFF2-40B4-BE49-F238E27FC236}">
                  <a16:creationId xmlns:a16="http://schemas.microsoft.com/office/drawing/2014/main" id="{99FFC548-7A6A-443F-8ABE-BE7B6C2BBB9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4" name="דיו 253">
              <a:extLst>
                <a:ext uri="{FF2B5EF4-FFF2-40B4-BE49-F238E27FC236}">
                  <a16:creationId xmlns:a16="http://schemas.microsoft.com/office/drawing/2014/main" id="{C217A410-549B-4247-94C1-0C78458B404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5" name="דיו 254">
              <a:extLst>
                <a:ext uri="{FF2B5EF4-FFF2-40B4-BE49-F238E27FC236}">
                  <a16:creationId xmlns:a16="http://schemas.microsoft.com/office/drawing/2014/main" id="{FB92F0B8-E002-49F5-B158-AEA0C02E0B7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6" name="דיו 255">
              <a:extLst>
                <a:ext uri="{FF2B5EF4-FFF2-40B4-BE49-F238E27FC236}">
                  <a16:creationId xmlns:a16="http://schemas.microsoft.com/office/drawing/2014/main" id="{B27F13BF-E1E8-4AFE-9A5B-B206BDD2A2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7" name="דיו 256">
              <a:extLst>
                <a:ext uri="{FF2B5EF4-FFF2-40B4-BE49-F238E27FC236}">
                  <a16:creationId xmlns:a16="http://schemas.microsoft.com/office/drawing/2014/main" id="{9581F3A8-2A13-42B3-B857-4CD28749A01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58" name="דיו 257">
              <a:extLst>
                <a:ext uri="{FF2B5EF4-FFF2-40B4-BE49-F238E27FC236}">
                  <a16:creationId xmlns:a16="http://schemas.microsoft.com/office/drawing/2014/main" id="{0B51B832-B173-4EF0-B806-2BB9D76BD89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59" name="דיו 258">
              <a:extLst>
                <a:ext uri="{FF2B5EF4-FFF2-40B4-BE49-F238E27FC236}">
                  <a16:creationId xmlns:a16="http://schemas.microsoft.com/office/drawing/2014/main" id="{07F17B72-14DC-4C0B-B42A-560FF9B940F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0" name="דיו 259">
              <a:extLst>
                <a:ext uri="{FF2B5EF4-FFF2-40B4-BE49-F238E27FC236}">
                  <a16:creationId xmlns:a16="http://schemas.microsoft.com/office/drawing/2014/main" id="{D42DAE50-D3A3-44C4-BEE1-0890783718E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1" name="דיו 260">
              <a:extLst>
                <a:ext uri="{FF2B5EF4-FFF2-40B4-BE49-F238E27FC236}">
                  <a16:creationId xmlns:a16="http://schemas.microsoft.com/office/drawing/2014/main" id="{086F628D-7922-4FBC-BAB1-47460C38DF3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2" name="דיו 261">
              <a:extLst>
                <a:ext uri="{FF2B5EF4-FFF2-40B4-BE49-F238E27FC236}">
                  <a16:creationId xmlns:a16="http://schemas.microsoft.com/office/drawing/2014/main" id="{4F8B5110-88DE-4627-9F70-0EB16B3677E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3" name="דיו 262">
              <a:extLst>
                <a:ext uri="{FF2B5EF4-FFF2-40B4-BE49-F238E27FC236}">
                  <a16:creationId xmlns:a16="http://schemas.microsoft.com/office/drawing/2014/main" id="{105D4F3E-7044-4337-B167-699FC4B3C5B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4" name="דיו 263">
              <a:extLst>
                <a:ext uri="{FF2B5EF4-FFF2-40B4-BE49-F238E27FC236}">
                  <a16:creationId xmlns:a16="http://schemas.microsoft.com/office/drawing/2014/main" id="{AEB998F7-28A9-4695-AA49-4FA2412DA8A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5" name="דיו 264">
              <a:extLst>
                <a:ext uri="{FF2B5EF4-FFF2-40B4-BE49-F238E27FC236}">
                  <a16:creationId xmlns:a16="http://schemas.microsoft.com/office/drawing/2014/main" id="{1D3E83C8-EF22-4601-A9D8-3B9A68F6E53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6" name="דיו 265">
              <a:extLst>
                <a:ext uri="{FF2B5EF4-FFF2-40B4-BE49-F238E27FC236}">
                  <a16:creationId xmlns:a16="http://schemas.microsoft.com/office/drawing/2014/main" id="{60E041C3-E7EF-4E63-B70D-FB9D1FCCE46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7" name="דיו 266">
              <a:extLst>
                <a:ext uri="{FF2B5EF4-FFF2-40B4-BE49-F238E27FC236}">
                  <a16:creationId xmlns:a16="http://schemas.microsoft.com/office/drawing/2014/main" id="{23AEB1BA-513E-4E39-9838-76CBB357395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68" name="דיו 267">
              <a:extLst>
                <a:ext uri="{FF2B5EF4-FFF2-40B4-BE49-F238E27FC236}">
                  <a16:creationId xmlns:a16="http://schemas.microsoft.com/office/drawing/2014/main" id="{60B7C1DD-7470-4881-9F2D-580BCD88E18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69" name="דיו 268">
              <a:extLst>
                <a:ext uri="{FF2B5EF4-FFF2-40B4-BE49-F238E27FC236}">
                  <a16:creationId xmlns:a16="http://schemas.microsoft.com/office/drawing/2014/main" id="{09EFDC14-59C7-4506-83E7-C63654C149C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0" name="דיו 269">
              <a:extLst>
                <a:ext uri="{FF2B5EF4-FFF2-40B4-BE49-F238E27FC236}">
                  <a16:creationId xmlns:a16="http://schemas.microsoft.com/office/drawing/2014/main" id="{385C4803-98B7-4054-A801-62ACBC92502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1" name="דיו 270">
              <a:extLst>
                <a:ext uri="{FF2B5EF4-FFF2-40B4-BE49-F238E27FC236}">
                  <a16:creationId xmlns:a16="http://schemas.microsoft.com/office/drawing/2014/main" id="{DDA1FB4A-4C8C-4605-8C4B-B3D1200E11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2" name="דיו 271">
              <a:extLst>
                <a:ext uri="{FF2B5EF4-FFF2-40B4-BE49-F238E27FC236}">
                  <a16:creationId xmlns:a16="http://schemas.microsoft.com/office/drawing/2014/main" id="{5F62348F-8F97-47F1-AD84-7D4E60ADF7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3" name="דיו 272">
              <a:extLst>
                <a:ext uri="{FF2B5EF4-FFF2-40B4-BE49-F238E27FC236}">
                  <a16:creationId xmlns:a16="http://schemas.microsoft.com/office/drawing/2014/main" id="{D8AF3ADD-6535-4182-8491-A48C668D4C3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4" name="דיו 273">
              <a:extLst>
                <a:ext uri="{FF2B5EF4-FFF2-40B4-BE49-F238E27FC236}">
                  <a16:creationId xmlns:a16="http://schemas.microsoft.com/office/drawing/2014/main" id="{6611CCFC-63DE-4ECB-B366-0EC8175C28D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5" name="דיו 274">
              <a:extLst>
                <a:ext uri="{FF2B5EF4-FFF2-40B4-BE49-F238E27FC236}">
                  <a16:creationId xmlns:a16="http://schemas.microsoft.com/office/drawing/2014/main" id="{C9A136A6-88C9-40CD-AF10-16E1FD563D1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6" name="דיו 275">
              <a:extLst>
                <a:ext uri="{FF2B5EF4-FFF2-40B4-BE49-F238E27FC236}">
                  <a16:creationId xmlns:a16="http://schemas.microsoft.com/office/drawing/2014/main" id="{5143B8D3-0B0B-430D-ABD9-C6828ACED28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7" name="דיו 276">
              <a:extLst>
                <a:ext uri="{FF2B5EF4-FFF2-40B4-BE49-F238E27FC236}">
                  <a16:creationId xmlns:a16="http://schemas.microsoft.com/office/drawing/2014/main" id="{EE3D9CEA-C9C4-4C48-9180-2D4CDBB235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78" name="דיו 277">
              <a:extLst>
                <a:ext uri="{FF2B5EF4-FFF2-40B4-BE49-F238E27FC236}">
                  <a16:creationId xmlns:a16="http://schemas.microsoft.com/office/drawing/2014/main" id="{70C525A2-A5CA-474C-BE96-DE607D20B97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79" name="דיו 278">
              <a:extLst>
                <a:ext uri="{FF2B5EF4-FFF2-40B4-BE49-F238E27FC236}">
                  <a16:creationId xmlns:a16="http://schemas.microsoft.com/office/drawing/2014/main" id="{5871F90C-BDEE-4146-A719-5D79013DF27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0" name="דיו 279">
              <a:extLst>
                <a:ext uri="{FF2B5EF4-FFF2-40B4-BE49-F238E27FC236}">
                  <a16:creationId xmlns:a16="http://schemas.microsoft.com/office/drawing/2014/main" id="{373F8010-8E39-4D42-BB6A-367AD7718BB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1" name="דיו 280">
              <a:extLst>
                <a:ext uri="{FF2B5EF4-FFF2-40B4-BE49-F238E27FC236}">
                  <a16:creationId xmlns:a16="http://schemas.microsoft.com/office/drawing/2014/main" id="{08EFBC39-34AA-405B-BF1D-076D8910513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2" name="דיו 281">
              <a:extLst>
                <a:ext uri="{FF2B5EF4-FFF2-40B4-BE49-F238E27FC236}">
                  <a16:creationId xmlns:a16="http://schemas.microsoft.com/office/drawing/2014/main" id="{D55885C9-5C1E-4C78-AC3B-BB4F5568D55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3" name="דיו 282">
              <a:extLst>
                <a:ext uri="{FF2B5EF4-FFF2-40B4-BE49-F238E27FC236}">
                  <a16:creationId xmlns:a16="http://schemas.microsoft.com/office/drawing/2014/main" id="{53755023-0E5D-48C9-96DA-28933935176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4" name="דיו 283">
              <a:extLst>
                <a:ext uri="{FF2B5EF4-FFF2-40B4-BE49-F238E27FC236}">
                  <a16:creationId xmlns:a16="http://schemas.microsoft.com/office/drawing/2014/main" id="{8A0C1420-E979-44F6-A4D4-10362937F12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5" name="דיו 284">
              <a:extLst>
                <a:ext uri="{FF2B5EF4-FFF2-40B4-BE49-F238E27FC236}">
                  <a16:creationId xmlns:a16="http://schemas.microsoft.com/office/drawing/2014/main" id="{888C3B62-88B4-4020-B837-27C3505F9D9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6" name="דיו 285">
              <a:extLst>
                <a:ext uri="{FF2B5EF4-FFF2-40B4-BE49-F238E27FC236}">
                  <a16:creationId xmlns:a16="http://schemas.microsoft.com/office/drawing/2014/main" id="{09090B64-BB76-4C7E-BFE5-52D0C07036E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7" name="דיו 286">
              <a:extLst>
                <a:ext uri="{FF2B5EF4-FFF2-40B4-BE49-F238E27FC236}">
                  <a16:creationId xmlns:a16="http://schemas.microsoft.com/office/drawing/2014/main" id="{003C6D2F-12E9-4EFD-B08C-ACE0FF312F5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88" name="דיו 287">
              <a:extLst>
                <a:ext uri="{FF2B5EF4-FFF2-40B4-BE49-F238E27FC236}">
                  <a16:creationId xmlns:a16="http://schemas.microsoft.com/office/drawing/2014/main" id="{CACDA839-F5F7-4C05-A730-578D842B12B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89" name="דיו 288">
              <a:extLst>
                <a:ext uri="{FF2B5EF4-FFF2-40B4-BE49-F238E27FC236}">
                  <a16:creationId xmlns:a16="http://schemas.microsoft.com/office/drawing/2014/main" id="{7F0F5BA6-16C0-41EC-B036-6F4B7DC6567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0" name="דיו 289">
              <a:extLst>
                <a:ext uri="{FF2B5EF4-FFF2-40B4-BE49-F238E27FC236}">
                  <a16:creationId xmlns:a16="http://schemas.microsoft.com/office/drawing/2014/main" id="{FB468B5E-ED1D-4D61-B742-66AB8039300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1" name="דיו 290">
              <a:extLst>
                <a:ext uri="{FF2B5EF4-FFF2-40B4-BE49-F238E27FC236}">
                  <a16:creationId xmlns:a16="http://schemas.microsoft.com/office/drawing/2014/main" id="{8F26E68D-8AF4-4C00-AF33-ECF707E871B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2" name="דיו 291">
              <a:extLst>
                <a:ext uri="{FF2B5EF4-FFF2-40B4-BE49-F238E27FC236}">
                  <a16:creationId xmlns:a16="http://schemas.microsoft.com/office/drawing/2014/main" id="{57C77C00-0DE2-4800-88B4-7F6DD976BE4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3" name="דיו 292">
              <a:extLst>
                <a:ext uri="{FF2B5EF4-FFF2-40B4-BE49-F238E27FC236}">
                  <a16:creationId xmlns:a16="http://schemas.microsoft.com/office/drawing/2014/main" id="{409ED8F6-B555-44EF-9938-AA2B7DD4066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4" name="דיו 293">
              <a:extLst>
                <a:ext uri="{FF2B5EF4-FFF2-40B4-BE49-F238E27FC236}">
                  <a16:creationId xmlns:a16="http://schemas.microsoft.com/office/drawing/2014/main" id="{2C56B997-4A14-474A-8E2D-53883D86E85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5" name="דיו 294">
              <a:extLst>
                <a:ext uri="{FF2B5EF4-FFF2-40B4-BE49-F238E27FC236}">
                  <a16:creationId xmlns:a16="http://schemas.microsoft.com/office/drawing/2014/main" id="{089F8162-A050-4B06-861E-9FA87E5A04E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6" name="דיו 295">
              <a:extLst>
                <a:ext uri="{FF2B5EF4-FFF2-40B4-BE49-F238E27FC236}">
                  <a16:creationId xmlns:a16="http://schemas.microsoft.com/office/drawing/2014/main" id="{1160270C-4AA3-490F-A70F-98101C5A89D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7" name="דיו 296">
              <a:extLst>
                <a:ext uri="{FF2B5EF4-FFF2-40B4-BE49-F238E27FC236}">
                  <a16:creationId xmlns:a16="http://schemas.microsoft.com/office/drawing/2014/main" id="{F36D0B17-9D1F-4CCF-AF07-7729561C994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98" name="דיו 297">
              <a:extLst>
                <a:ext uri="{FF2B5EF4-FFF2-40B4-BE49-F238E27FC236}">
                  <a16:creationId xmlns:a16="http://schemas.microsoft.com/office/drawing/2014/main" id="{D6650E81-D5F6-4B76-A617-030EBE98CE4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299" name="דיו 298">
              <a:extLst>
                <a:ext uri="{FF2B5EF4-FFF2-40B4-BE49-F238E27FC236}">
                  <a16:creationId xmlns:a16="http://schemas.microsoft.com/office/drawing/2014/main" id="{1064B946-8DDF-4E26-9F8C-5D18E304F15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0" name="דיו 299">
              <a:extLst>
                <a:ext uri="{FF2B5EF4-FFF2-40B4-BE49-F238E27FC236}">
                  <a16:creationId xmlns:a16="http://schemas.microsoft.com/office/drawing/2014/main" id="{8E068273-8448-4E86-B849-53F531DA83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1" name="דיו 300">
              <a:extLst>
                <a:ext uri="{FF2B5EF4-FFF2-40B4-BE49-F238E27FC236}">
                  <a16:creationId xmlns:a16="http://schemas.microsoft.com/office/drawing/2014/main" id="{EE6FA4B0-A456-46EA-AEDD-8DEB850EBEB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2" name="דיו 301">
              <a:extLst>
                <a:ext uri="{FF2B5EF4-FFF2-40B4-BE49-F238E27FC236}">
                  <a16:creationId xmlns:a16="http://schemas.microsoft.com/office/drawing/2014/main" id="{C0B620B2-79E2-4787-9D15-172B6538DD9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3" name="דיו 302">
              <a:extLst>
                <a:ext uri="{FF2B5EF4-FFF2-40B4-BE49-F238E27FC236}">
                  <a16:creationId xmlns:a16="http://schemas.microsoft.com/office/drawing/2014/main" id="{4C39241D-DFE2-414B-A4CB-4E3B5F2551F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4" name="דיו 303">
              <a:extLst>
                <a:ext uri="{FF2B5EF4-FFF2-40B4-BE49-F238E27FC236}">
                  <a16:creationId xmlns:a16="http://schemas.microsoft.com/office/drawing/2014/main" id="{93749AE2-B196-41E1-90DE-C9E9EEE310C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5" name="דיו 304">
              <a:extLst>
                <a:ext uri="{FF2B5EF4-FFF2-40B4-BE49-F238E27FC236}">
                  <a16:creationId xmlns:a16="http://schemas.microsoft.com/office/drawing/2014/main" id="{9807F301-1723-4B4E-83C4-47CD5D31009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6" name="דיו 305">
              <a:extLst>
                <a:ext uri="{FF2B5EF4-FFF2-40B4-BE49-F238E27FC236}">
                  <a16:creationId xmlns:a16="http://schemas.microsoft.com/office/drawing/2014/main" id="{28B88245-9187-4B44-A091-24269CD7C73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7" name="דיו 306">
              <a:extLst>
                <a:ext uri="{FF2B5EF4-FFF2-40B4-BE49-F238E27FC236}">
                  <a16:creationId xmlns:a16="http://schemas.microsoft.com/office/drawing/2014/main" id="{3E2470D0-89F5-4F92-A43A-3583EA1A159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08" name="דיו 307">
              <a:extLst>
                <a:ext uri="{FF2B5EF4-FFF2-40B4-BE49-F238E27FC236}">
                  <a16:creationId xmlns:a16="http://schemas.microsoft.com/office/drawing/2014/main" id="{2F3D77CA-4F00-4A3F-B759-DAE28473E83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09" name="דיו 308">
              <a:extLst>
                <a:ext uri="{FF2B5EF4-FFF2-40B4-BE49-F238E27FC236}">
                  <a16:creationId xmlns:a16="http://schemas.microsoft.com/office/drawing/2014/main" id="{EA244A25-F857-47A4-B159-5F36F761D19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0" name="דיו 309">
              <a:extLst>
                <a:ext uri="{FF2B5EF4-FFF2-40B4-BE49-F238E27FC236}">
                  <a16:creationId xmlns:a16="http://schemas.microsoft.com/office/drawing/2014/main" id="{6AC8C6FF-76B5-4EB2-95AE-34575BD9EFB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1" name="דיו 310">
              <a:extLst>
                <a:ext uri="{FF2B5EF4-FFF2-40B4-BE49-F238E27FC236}">
                  <a16:creationId xmlns:a16="http://schemas.microsoft.com/office/drawing/2014/main" id="{98E07210-08A3-43FE-B73B-55D3B2B1F41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2" name="דיו 311">
              <a:extLst>
                <a:ext uri="{FF2B5EF4-FFF2-40B4-BE49-F238E27FC236}">
                  <a16:creationId xmlns:a16="http://schemas.microsoft.com/office/drawing/2014/main" id="{D89680BD-37EE-425E-A99C-4CC6F634BEA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3" name="דיו 312">
              <a:extLst>
                <a:ext uri="{FF2B5EF4-FFF2-40B4-BE49-F238E27FC236}">
                  <a16:creationId xmlns:a16="http://schemas.microsoft.com/office/drawing/2014/main" id="{03FEB387-1A8E-452F-A5D1-30A9FD8692B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4" name="דיו 313">
              <a:extLst>
                <a:ext uri="{FF2B5EF4-FFF2-40B4-BE49-F238E27FC236}">
                  <a16:creationId xmlns:a16="http://schemas.microsoft.com/office/drawing/2014/main" id="{F4D73AC1-78CC-4A72-A478-DDBF7530A03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5" name="דיו 314">
              <a:extLst>
                <a:ext uri="{FF2B5EF4-FFF2-40B4-BE49-F238E27FC236}">
                  <a16:creationId xmlns:a16="http://schemas.microsoft.com/office/drawing/2014/main" id="{F9C8C752-4EFA-48CF-82BD-684225CB56C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6" name="דיו 315">
              <a:extLst>
                <a:ext uri="{FF2B5EF4-FFF2-40B4-BE49-F238E27FC236}">
                  <a16:creationId xmlns:a16="http://schemas.microsoft.com/office/drawing/2014/main" id="{EC9879B3-73E5-406A-A858-62472724234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7" name="דיו 316">
              <a:extLst>
                <a:ext uri="{FF2B5EF4-FFF2-40B4-BE49-F238E27FC236}">
                  <a16:creationId xmlns:a16="http://schemas.microsoft.com/office/drawing/2014/main" id="{9C8C3C7D-93B7-45BE-BCFE-D0D4A371454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18" name="דיו 317">
              <a:extLst>
                <a:ext uri="{FF2B5EF4-FFF2-40B4-BE49-F238E27FC236}">
                  <a16:creationId xmlns:a16="http://schemas.microsoft.com/office/drawing/2014/main" id="{03244CC8-86C4-439D-8849-76995A7BC0F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19" name="דיו 318">
              <a:extLst>
                <a:ext uri="{FF2B5EF4-FFF2-40B4-BE49-F238E27FC236}">
                  <a16:creationId xmlns:a16="http://schemas.microsoft.com/office/drawing/2014/main" id="{91456DD4-981C-496F-8577-CE64F0AA56B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0" name="דיו 319">
              <a:extLst>
                <a:ext uri="{FF2B5EF4-FFF2-40B4-BE49-F238E27FC236}">
                  <a16:creationId xmlns:a16="http://schemas.microsoft.com/office/drawing/2014/main" id="{66D7AAB8-08A0-4BF8-94FD-D18F9360DEA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1" name="דיו 320">
              <a:extLst>
                <a:ext uri="{FF2B5EF4-FFF2-40B4-BE49-F238E27FC236}">
                  <a16:creationId xmlns:a16="http://schemas.microsoft.com/office/drawing/2014/main" id="{A19CB71B-F347-4047-8556-A13A59BC06F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2" name="דיו 321">
              <a:extLst>
                <a:ext uri="{FF2B5EF4-FFF2-40B4-BE49-F238E27FC236}">
                  <a16:creationId xmlns:a16="http://schemas.microsoft.com/office/drawing/2014/main" id="{CDD1F336-1534-43C4-A404-D255ABC5A18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3" name="דיו 322">
              <a:extLst>
                <a:ext uri="{FF2B5EF4-FFF2-40B4-BE49-F238E27FC236}">
                  <a16:creationId xmlns:a16="http://schemas.microsoft.com/office/drawing/2014/main" id="{5D15577F-C365-4691-BD89-8E24CB34FEA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4" name="דיו 323">
              <a:extLst>
                <a:ext uri="{FF2B5EF4-FFF2-40B4-BE49-F238E27FC236}">
                  <a16:creationId xmlns:a16="http://schemas.microsoft.com/office/drawing/2014/main" id="{0C80E212-EA5B-48C6-ABFC-C82730EF80E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5" name="דיו 324">
              <a:extLst>
                <a:ext uri="{FF2B5EF4-FFF2-40B4-BE49-F238E27FC236}">
                  <a16:creationId xmlns:a16="http://schemas.microsoft.com/office/drawing/2014/main" id="{AC81D2FE-2CFF-44AF-B9D1-F1DFF1E9C54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6" name="דיו 325">
              <a:extLst>
                <a:ext uri="{FF2B5EF4-FFF2-40B4-BE49-F238E27FC236}">
                  <a16:creationId xmlns:a16="http://schemas.microsoft.com/office/drawing/2014/main" id="{44D2A3F0-20FD-4571-848F-BE3B3CC6225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7" name="דיו 326">
              <a:extLst>
                <a:ext uri="{FF2B5EF4-FFF2-40B4-BE49-F238E27FC236}">
                  <a16:creationId xmlns:a16="http://schemas.microsoft.com/office/drawing/2014/main" id="{854B09A9-04A2-4485-B2A3-3225C2409B5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28" name="דיו 327">
              <a:extLst>
                <a:ext uri="{FF2B5EF4-FFF2-40B4-BE49-F238E27FC236}">
                  <a16:creationId xmlns:a16="http://schemas.microsoft.com/office/drawing/2014/main" id="{2730A35E-29B6-480A-882E-9DA5685B440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29" name="דיו 328">
              <a:extLst>
                <a:ext uri="{FF2B5EF4-FFF2-40B4-BE49-F238E27FC236}">
                  <a16:creationId xmlns:a16="http://schemas.microsoft.com/office/drawing/2014/main" id="{AABAB7D4-8C8A-489F-9642-310F53809E1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0" name="דיו 329">
              <a:extLst>
                <a:ext uri="{FF2B5EF4-FFF2-40B4-BE49-F238E27FC236}">
                  <a16:creationId xmlns:a16="http://schemas.microsoft.com/office/drawing/2014/main" id="{C90287B2-5B3B-4D0A-89FB-332113F6CA0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1" name="דיו 330">
              <a:extLst>
                <a:ext uri="{FF2B5EF4-FFF2-40B4-BE49-F238E27FC236}">
                  <a16:creationId xmlns:a16="http://schemas.microsoft.com/office/drawing/2014/main" id="{2DECACDA-BB38-4DFA-8CDD-9B8FAE91D73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2" name="דיו 331">
              <a:extLst>
                <a:ext uri="{FF2B5EF4-FFF2-40B4-BE49-F238E27FC236}">
                  <a16:creationId xmlns:a16="http://schemas.microsoft.com/office/drawing/2014/main" id="{F9DAE544-0D73-4EF5-8BE7-2832688A921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3" name="דיו 332">
              <a:extLst>
                <a:ext uri="{FF2B5EF4-FFF2-40B4-BE49-F238E27FC236}">
                  <a16:creationId xmlns:a16="http://schemas.microsoft.com/office/drawing/2014/main" id="{230E3733-2DC4-4FE3-9959-F3BA164B3F7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4" name="דיו 333">
              <a:extLst>
                <a:ext uri="{FF2B5EF4-FFF2-40B4-BE49-F238E27FC236}">
                  <a16:creationId xmlns:a16="http://schemas.microsoft.com/office/drawing/2014/main" id="{33BE7D0A-255F-4903-A4E9-43B735A864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5" name="דיו 334">
              <a:extLst>
                <a:ext uri="{FF2B5EF4-FFF2-40B4-BE49-F238E27FC236}">
                  <a16:creationId xmlns:a16="http://schemas.microsoft.com/office/drawing/2014/main" id="{BDF46B44-6869-484E-A74E-618747A0F7C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6" name="דיו 335">
              <a:extLst>
                <a:ext uri="{FF2B5EF4-FFF2-40B4-BE49-F238E27FC236}">
                  <a16:creationId xmlns:a16="http://schemas.microsoft.com/office/drawing/2014/main" id="{EE1B9F66-7E93-4CC2-BEA3-6503751A70B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7" name="דיו 336">
              <a:extLst>
                <a:ext uri="{FF2B5EF4-FFF2-40B4-BE49-F238E27FC236}">
                  <a16:creationId xmlns:a16="http://schemas.microsoft.com/office/drawing/2014/main" id="{B01B3344-F582-4B57-BBC9-2F520BCB69F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38" name="דיו 337">
              <a:extLst>
                <a:ext uri="{FF2B5EF4-FFF2-40B4-BE49-F238E27FC236}">
                  <a16:creationId xmlns:a16="http://schemas.microsoft.com/office/drawing/2014/main" id="{57255972-EBA3-4921-A461-78F5A667AB6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39" name="דיו 338">
              <a:extLst>
                <a:ext uri="{FF2B5EF4-FFF2-40B4-BE49-F238E27FC236}">
                  <a16:creationId xmlns:a16="http://schemas.microsoft.com/office/drawing/2014/main" id="{AA42D3ED-BA7C-41DE-8622-7852DF9E0A4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0" name="דיו 339">
              <a:extLst>
                <a:ext uri="{FF2B5EF4-FFF2-40B4-BE49-F238E27FC236}">
                  <a16:creationId xmlns:a16="http://schemas.microsoft.com/office/drawing/2014/main" id="{EF9CF913-00F3-4C68-9CCB-C090AB9C043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1" name="דיו 340">
              <a:extLst>
                <a:ext uri="{FF2B5EF4-FFF2-40B4-BE49-F238E27FC236}">
                  <a16:creationId xmlns:a16="http://schemas.microsoft.com/office/drawing/2014/main" id="{F9C1C7A8-335D-44E8-AFDB-C2229D77470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2" name="דיו 341">
              <a:extLst>
                <a:ext uri="{FF2B5EF4-FFF2-40B4-BE49-F238E27FC236}">
                  <a16:creationId xmlns:a16="http://schemas.microsoft.com/office/drawing/2014/main" id="{F0BC664E-97F0-43C1-AF09-A24A933D53B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3" name="דיו 342">
              <a:extLst>
                <a:ext uri="{FF2B5EF4-FFF2-40B4-BE49-F238E27FC236}">
                  <a16:creationId xmlns:a16="http://schemas.microsoft.com/office/drawing/2014/main" id="{E29AE81E-46F1-4C0C-843D-DE943C50C94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4" name="דיו 343">
              <a:extLst>
                <a:ext uri="{FF2B5EF4-FFF2-40B4-BE49-F238E27FC236}">
                  <a16:creationId xmlns:a16="http://schemas.microsoft.com/office/drawing/2014/main" id="{5872A5D4-A095-4288-85A3-848B539572A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5" name="דיו 344">
              <a:extLst>
                <a:ext uri="{FF2B5EF4-FFF2-40B4-BE49-F238E27FC236}">
                  <a16:creationId xmlns:a16="http://schemas.microsoft.com/office/drawing/2014/main" id="{555057D3-5D7B-4ED2-8735-82DE8A33162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6" name="דיו 345">
              <a:extLst>
                <a:ext uri="{FF2B5EF4-FFF2-40B4-BE49-F238E27FC236}">
                  <a16:creationId xmlns:a16="http://schemas.microsoft.com/office/drawing/2014/main" id="{C6D38C6A-BC51-4FB7-B957-008BC058BA0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7" name="דיו 346">
              <a:extLst>
                <a:ext uri="{FF2B5EF4-FFF2-40B4-BE49-F238E27FC236}">
                  <a16:creationId xmlns:a16="http://schemas.microsoft.com/office/drawing/2014/main" id="{C4FC9895-712D-45BB-8DC3-77AAB80D84A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48" name="דיו 347">
              <a:extLst>
                <a:ext uri="{FF2B5EF4-FFF2-40B4-BE49-F238E27FC236}">
                  <a16:creationId xmlns:a16="http://schemas.microsoft.com/office/drawing/2014/main" id="{CB5D25EC-3ABD-496C-A26D-6732A2A48A1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49" name="דיו 348">
              <a:extLst>
                <a:ext uri="{FF2B5EF4-FFF2-40B4-BE49-F238E27FC236}">
                  <a16:creationId xmlns:a16="http://schemas.microsoft.com/office/drawing/2014/main" id="{4643008D-3DEE-47F8-9391-26842CD2979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0" name="דיו 349">
              <a:extLst>
                <a:ext uri="{FF2B5EF4-FFF2-40B4-BE49-F238E27FC236}">
                  <a16:creationId xmlns:a16="http://schemas.microsoft.com/office/drawing/2014/main" id="{11BFFAB9-967D-43B2-A863-42298E6F415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1" name="דיו 350">
              <a:extLst>
                <a:ext uri="{FF2B5EF4-FFF2-40B4-BE49-F238E27FC236}">
                  <a16:creationId xmlns:a16="http://schemas.microsoft.com/office/drawing/2014/main" id="{04E65062-7B81-4CD8-93DC-2FF906B678D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2" name="דיו 351">
              <a:extLst>
                <a:ext uri="{FF2B5EF4-FFF2-40B4-BE49-F238E27FC236}">
                  <a16:creationId xmlns:a16="http://schemas.microsoft.com/office/drawing/2014/main" id="{013159E7-ACA0-4621-BF34-E1007363511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3" name="דיו 352">
              <a:extLst>
                <a:ext uri="{FF2B5EF4-FFF2-40B4-BE49-F238E27FC236}">
                  <a16:creationId xmlns:a16="http://schemas.microsoft.com/office/drawing/2014/main" id="{E6B65272-45E3-4279-987D-E687AC622DF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4" name="דיו 353">
              <a:extLst>
                <a:ext uri="{FF2B5EF4-FFF2-40B4-BE49-F238E27FC236}">
                  <a16:creationId xmlns:a16="http://schemas.microsoft.com/office/drawing/2014/main" id="{13685878-84A9-4308-881B-2D8F03C961D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5" name="דיו 354">
              <a:extLst>
                <a:ext uri="{FF2B5EF4-FFF2-40B4-BE49-F238E27FC236}">
                  <a16:creationId xmlns:a16="http://schemas.microsoft.com/office/drawing/2014/main" id="{B451C362-BE04-4B34-9A55-2A9C318B49C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6" name="דיו 355">
              <a:extLst>
                <a:ext uri="{FF2B5EF4-FFF2-40B4-BE49-F238E27FC236}">
                  <a16:creationId xmlns:a16="http://schemas.microsoft.com/office/drawing/2014/main" id="{03BA1433-0656-41A5-9116-1152E2BCB57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7" name="דיו 356">
              <a:extLst>
                <a:ext uri="{FF2B5EF4-FFF2-40B4-BE49-F238E27FC236}">
                  <a16:creationId xmlns:a16="http://schemas.microsoft.com/office/drawing/2014/main" id="{721B01BF-B3A7-4B9C-B086-241460DC1D6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58" name="דיו 357">
              <a:extLst>
                <a:ext uri="{FF2B5EF4-FFF2-40B4-BE49-F238E27FC236}">
                  <a16:creationId xmlns:a16="http://schemas.microsoft.com/office/drawing/2014/main" id="{5C1D52ED-0ADD-4338-B395-597191726B6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59" name="דיו 358">
              <a:extLst>
                <a:ext uri="{FF2B5EF4-FFF2-40B4-BE49-F238E27FC236}">
                  <a16:creationId xmlns:a16="http://schemas.microsoft.com/office/drawing/2014/main" id="{AC372059-C925-4E62-8F23-45A5B5A0838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0" name="דיו 359">
              <a:extLst>
                <a:ext uri="{FF2B5EF4-FFF2-40B4-BE49-F238E27FC236}">
                  <a16:creationId xmlns:a16="http://schemas.microsoft.com/office/drawing/2014/main" id="{6C76638F-F04F-42F3-A59D-7AAC377EDF5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1" name="דיו 360">
              <a:extLst>
                <a:ext uri="{FF2B5EF4-FFF2-40B4-BE49-F238E27FC236}">
                  <a16:creationId xmlns:a16="http://schemas.microsoft.com/office/drawing/2014/main" id="{DA3CF048-880A-4559-9724-CD3782D56D1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2" name="דיו 361">
              <a:extLst>
                <a:ext uri="{FF2B5EF4-FFF2-40B4-BE49-F238E27FC236}">
                  <a16:creationId xmlns:a16="http://schemas.microsoft.com/office/drawing/2014/main" id="{C3DC2C40-0CFD-4049-B9A3-EACD3B28460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3" name="דיו 362">
              <a:extLst>
                <a:ext uri="{FF2B5EF4-FFF2-40B4-BE49-F238E27FC236}">
                  <a16:creationId xmlns:a16="http://schemas.microsoft.com/office/drawing/2014/main" id="{875B76F8-6B59-4DE0-A153-830D9EF3EAA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4" name="דיו 363">
              <a:extLst>
                <a:ext uri="{FF2B5EF4-FFF2-40B4-BE49-F238E27FC236}">
                  <a16:creationId xmlns:a16="http://schemas.microsoft.com/office/drawing/2014/main" id="{20DE330A-C2F4-4C1C-9DEE-A4428C85C90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5" name="דיו 364">
              <a:extLst>
                <a:ext uri="{FF2B5EF4-FFF2-40B4-BE49-F238E27FC236}">
                  <a16:creationId xmlns:a16="http://schemas.microsoft.com/office/drawing/2014/main" id="{38A05C22-82FC-4540-9B54-9A6C08A3C09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6" name="דיו 365">
              <a:extLst>
                <a:ext uri="{FF2B5EF4-FFF2-40B4-BE49-F238E27FC236}">
                  <a16:creationId xmlns:a16="http://schemas.microsoft.com/office/drawing/2014/main" id="{977A37D8-3B87-44AC-860A-BCF994108FC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7" name="דיו 366">
              <a:extLst>
                <a:ext uri="{FF2B5EF4-FFF2-40B4-BE49-F238E27FC236}">
                  <a16:creationId xmlns:a16="http://schemas.microsoft.com/office/drawing/2014/main" id="{CE2C214D-D0DC-4617-8447-C9509A23794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68" name="דיו 367">
              <a:extLst>
                <a:ext uri="{FF2B5EF4-FFF2-40B4-BE49-F238E27FC236}">
                  <a16:creationId xmlns:a16="http://schemas.microsoft.com/office/drawing/2014/main" id="{2C0551F0-7486-4E48-ACC7-28BF3BFCB99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69" name="דיו 368">
              <a:extLst>
                <a:ext uri="{FF2B5EF4-FFF2-40B4-BE49-F238E27FC236}">
                  <a16:creationId xmlns:a16="http://schemas.microsoft.com/office/drawing/2014/main" id="{37AD7DA9-67A2-478F-8879-0E66A4B9068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0" name="דיו 369">
              <a:extLst>
                <a:ext uri="{FF2B5EF4-FFF2-40B4-BE49-F238E27FC236}">
                  <a16:creationId xmlns:a16="http://schemas.microsoft.com/office/drawing/2014/main" id="{31BD0E10-A715-40A9-B4BC-64D84F7CE96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1" name="דיו 370">
              <a:extLst>
                <a:ext uri="{FF2B5EF4-FFF2-40B4-BE49-F238E27FC236}">
                  <a16:creationId xmlns:a16="http://schemas.microsoft.com/office/drawing/2014/main" id="{104FC38B-0438-45D5-839E-0117C3A015D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2" name="דיו 371">
              <a:extLst>
                <a:ext uri="{FF2B5EF4-FFF2-40B4-BE49-F238E27FC236}">
                  <a16:creationId xmlns:a16="http://schemas.microsoft.com/office/drawing/2014/main" id="{2618CF29-2828-4FF5-BB6B-E91CBDADDCF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3" name="דיו 372">
              <a:extLst>
                <a:ext uri="{FF2B5EF4-FFF2-40B4-BE49-F238E27FC236}">
                  <a16:creationId xmlns:a16="http://schemas.microsoft.com/office/drawing/2014/main" id="{DD50A7E2-322C-4D7E-813D-5B962F0F15B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4" name="דיו 373">
              <a:extLst>
                <a:ext uri="{FF2B5EF4-FFF2-40B4-BE49-F238E27FC236}">
                  <a16:creationId xmlns:a16="http://schemas.microsoft.com/office/drawing/2014/main" id="{328E8DFF-356A-4E1E-B7FC-6DBA192D550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5" name="דיו 374">
              <a:extLst>
                <a:ext uri="{FF2B5EF4-FFF2-40B4-BE49-F238E27FC236}">
                  <a16:creationId xmlns:a16="http://schemas.microsoft.com/office/drawing/2014/main" id="{AABE9FAD-340A-48C6-92BF-2EBEA55F9DB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6" name="דיו 375">
              <a:extLst>
                <a:ext uri="{FF2B5EF4-FFF2-40B4-BE49-F238E27FC236}">
                  <a16:creationId xmlns:a16="http://schemas.microsoft.com/office/drawing/2014/main" id="{FD97DAD2-8779-4830-86FC-CE0354BB87E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7" name="דיו 376">
              <a:extLst>
                <a:ext uri="{FF2B5EF4-FFF2-40B4-BE49-F238E27FC236}">
                  <a16:creationId xmlns:a16="http://schemas.microsoft.com/office/drawing/2014/main" id="{2813C5D9-356F-4B54-A925-2C608C8FDBD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78" name="דיו 377">
              <a:extLst>
                <a:ext uri="{FF2B5EF4-FFF2-40B4-BE49-F238E27FC236}">
                  <a16:creationId xmlns:a16="http://schemas.microsoft.com/office/drawing/2014/main" id="{21CDB6E7-B13D-4D43-AD20-7C9DDEDA6F4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79" name="דיו 378">
              <a:extLst>
                <a:ext uri="{FF2B5EF4-FFF2-40B4-BE49-F238E27FC236}">
                  <a16:creationId xmlns:a16="http://schemas.microsoft.com/office/drawing/2014/main" id="{82131758-C1A5-4420-8EFA-C9CB2398A57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0" name="דיו 379">
              <a:extLst>
                <a:ext uri="{FF2B5EF4-FFF2-40B4-BE49-F238E27FC236}">
                  <a16:creationId xmlns:a16="http://schemas.microsoft.com/office/drawing/2014/main" id="{63273598-7B6D-4B7B-8682-32CB2EBD669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1" name="דיו 380">
              <a:extLst>
                <a:ext uri="{FF2B5EF4-FFF2-40B4-BE49-F238E27FC236}">
                  <a16:creationId xmlns:a16="http://schemas.microsoft.com/office/drawing/2014/main" id="{0674EFF5-E272-4A56-BBFC-94E2A624B89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2" name="דיו 381">
              <a:extLst>
                <a:ext uri="{FF2B5EF4-FFF2-40B4-BE49-F238E27FC236}">
                  <a16:creationId xmlns:a16="http://schemas.microsoft.com/office/drawing/2014/main" id="{6E00A859-9A56-4509-AF13-04E51C7BB31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3" name="דיו 382">
              <a:extLst>
                <a:ext uri="{FF2B5EF4-FFF2-40B4-BE49-F238E27FC236}">
                  <a16:creationId xmlns:a16="http://schemas.microsoft.com/office/drawing/2014/main" id="{C6C3EB86-1FE9-42ED-82B2-F7ADE0568BB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4" name="דיו 383">
              <a:extLst>
                <a:ext uri="{FF2B5EF4-FFF2-40B4-BE49-F238E27FC236}">
                  <a16:creationId xmlns:a16="http://schemas.microsoft.com/office/drawing/2014/main" id="{5E37619D-6D53-41CC-AE1E-984444277BE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5" name="דיו 384">
              <a:extLst>
                <a:ext uri="{FF2B5EF4-FFF2-40B4-BE49-F238E27FC236}">
                  <a16:creationId xmlns:a16="http://schemas.microsoft.com/office/drawing/2014/main" id="{2D1A7143-B0C6-4191-B03C-8B1DA15890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6" name="דיו 385">
              <a:extLst>
                <a:ext uri="{FF2B5EF4-FFF2-40B4-BE49-F238E27FC236}">
                  <a16:creationId xmlns:a16="http://schemas.microsoft.com/office/drawing/2014/main" id="{F4E4AE6B-9E98-40F7-AC99-E3D14CF39C1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7" name="דיו 386">
              <a:extLst>
                <a:ext uri="{FF2B5EF4-FFF2-40B4-BE49-F238E27FC236}">
                  <a16:creationId xmlns:a16="http://schemas.microsoft.com/office/drawing/2014/main" id="{F0FB8596-5377-4B29-A80A-E636EEB252B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88" name="דיו 387">
              <a:extLst>
                <a:ext uri="{FF2B5EF4-FFF2-40B4-BE49-F238E27FC236}">
                  <a16:creationId xmlns:a16="http://schemas.microsoft.com/office/drawing/2014/main" id="{050684CC-91D8-4C27-8107-9DFF836AE86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89" name="דיו 388">
              <a:extLst>
                <a:ext uri="{FF2B5EF4-FFF2-40B4-BE49-F238E27FC236}">
                  <a16:creationId xmlns:a16="http://schemas.microsoft.com/office/drawing/2014/main" id="{BC025DCC-DEE5-4F3A-9C0A-B800169332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0" name="דיו 389">
              <a:extLst>
                <a:ext uri="{FF2B5EF4-FFF2-40B4-BE49-F238E27FC236}">
                  <a16:creationId xmlns:a16="http://schemas.microsoft.com/office/drawing/2014/main" id="{9AC4C957-C62B-4D60-9529-828EBA70BAC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1" name="דיו 390">
              <a:extLst>
                <a:ext uri="{FF2B5EF4-FFF2-40B4-BE49-F238E27FC236}">
                  <a16:creationId xmlns:a16="http://schemas.microsoft.com/office/drawing/2014/main" id="{4C05495E-A649-4DA1-8314-716AACCEFD6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2" name="דיו 391">
              <a:extLst>
                <a:ext uri="{FF2B5EF4-FFF2-40B4-BE49-F238E27FC236}">
                  <a16:creationId xmlns:a16="http://schemas.microsoft.com/office/drawing/2014/main" id="{FCEBE2AC-480E-42FE-A8EA-7542E0343EB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3" name="דיו 392">
              <a:extLst>
                <a:ext uri="{FF2B5EF4-FFF2-40B4-BE49-F238E27FC236}">
                  <a16:creationId xmlns:a16="http://schemas.microsoft.com/office/drawing/2014/main" id="{9BC0D284-32A3-4E1A-88AE-01C0B6BD925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4" name="דיו 393">
              <a:extLst>
                <a:ext uri="{FF2B5EF4-FFF2-40B4-BE49-F238E27FC236}">
                  <a16:creationId xmlns:a16="http://schemas.microsoft.com/office/drawing/2014/main" id="{68E4DC21-0D21-4E3B-B9A5-1082C8F80A4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5" name="דיו 394">
              <a:extLst>
                <a:ext uri="{FF2B5EF4-FFF2-40B4-BE49-F238E27FC236}">
                  <a16:creationId xmlns:a16="http://schemas.microsoft.com/office/drawing/2014/main" id="{BB23D9BB-D1F1-4B28-BF82-7AB4E6BC445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6" name="דיו 395">
              <a:extLst>
                <a:ext uri="{FF2B5EF4-FFF2-40B4-BE49-F238E27FC236}">
                  <a16:creationId xmlns:a16="http://schemas.microsoft.com/office/drawing/2014/main" id="{11B4B5AD-357B-4F6D-A056-5F5AA270C24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7" name="דיו 396">
              <a:extLst>
                <a:ext uri="{FF2B5EF4-FFF2-40B4-BE49-F238E27FC236}">
                  <a16:creationId xmlns:a16="http://schemas.microsoft.com/office/drawing/2014/main" id="{312F28AB-69CA-4320-B7E9-6D4A434F2FD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398" name="דיו 397">
              <a:extLst>
                <a:ext uri="{FF2B5EF4-FFF2-40B4-BE49-F238E27FC236}">
                  <a16:creationId xmlns:a16="http://schemas.microsoft.com/office/drawing/2014/main" id="{4E22A7DC-1B15-4529-88D7-045CD719EF2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399" name="דיו 398">
              <a:extLst>
                <a:ext uri="{FF2B5EF4-FFF2-40B4-BE49-F238E27FC236}">
                  <a16:creationId xmlns:a16="http://schemas.microsoft.com/office/drawing/2014/main" id="{28D1164D-463F-43D3-B97D-FC805F3C073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0" name="דיו 399">
              <a:extLst>
                <a:ext uri="{FF2B5EF4-FFF2-40B4-BE49-F238E27FC236}">
                  <a16:creationId xmlns:a16="http://schemas.microsoft.com/office/drawing/2014/main" id="{6AB613B3-371B-47FC-A5F8-FD481509786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1" name="דיו 400">
              <a:extLst>
                <a:ext uri="{FF2B5EF4-FFF2-40B4-BE49-F238E27FC236}">
                  <a16:creationId xmlns:a16="http://schemas.microsoft.com/office/drawing/2014/main" id="{EB25049B-460B-434E-AA79-41735EF8212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2" name="דיו 401">
              <a:extLst>
                <a:ext uri="{FF2B5EF4-FFF2-40B4-BE49-F238E27FC236}">
                  <a16:creationId xmlns:a16="http://schemas.microsoft.com/office/drawing/2014/main" id="{6CA15386-7880-471C-8D3D-976322DBEC5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3" name="דיו 402">
              <a:extLst>
                <a:ext uri="{FF2B5EF4-FFF2-40B4-BE49-F238E27FC236}">
                  <a16:creationId xmlns:a16="http://schemas.microsoft.com/office/drawing/2014/main" id="{A6E2BA9F-42A8-43F2-8DA2-FBE94D84447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4" name="דיו 403">
              <a:extLst>
                <a:ext uri="{FF2B5EF4-FFF2-40B4-BE49-F238E27FC236}">
                  <a16:creationId xmlns:a16="http://schemas.microsoft.com/office/drawing/2014/main" id="{D5169458-B63F-431E-AF45-7B8F1D21F67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5" name="דיו 404">
              <a:extLst>
                <a:ext uri="{FF2B5EF4-FFF2-40B4-BE49-F238E27FC236}">
                  <a16:creationId xmlns:a16="http://schemas.microsoft.com/office/drawing/2014/main" id="{4303C2D5-1D2E-41E5-AA67-C0156EBCAE3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6" name="דיו 405">
              <a:extLst>
                <a:ext uri="{FF2B5EF4-FFF2-40B4-BE49-F238E27FC236}">
                  <a16:creationId xmlns:a16="http://schemas.microsoft.com/office/drawing/2014/main" id="{3DD16212-ECD4-4DBF-A77C-36398A2100E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7" name="דיו 406">
              <a:extLst>
                <a:ext uri="{FF2B5EF4-FFF2-40B4-BE49-F238E27FC236}">
                  <a16:creationId xmlns:a16="http://schemas.microsoft.com/office/drawing/2014/main" id="{47A345C5-4C40-4149-8663-861FF021E2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08" name="דיו 407">
              <a:extLst>
                <a:ext uri="{FF2B5EF4-FFF2-40B4-BE49-F238E27FC236}">
                  <a16:creationId xmlns:a16="http://schemas.microsoft.com/office/drawing/2014/main" id="{C5195661-C068-424C-8DC7-4583C821C40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09" name="דיו 408">
              <a:extLst>
                <a:ext uri="{FF2B5EF4-FFF2-40B4-BE49-F238E27FC236}">
                  <a16:creationId xmlns:a16="http://schemas.microsoft.com/office/drawing/2014/main" id="{E411B6E6-89CE-4FF5-A5B9-E0069F41F3F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0" name="דיו 409">
              <a:extLst>
                <a:ext uri="{FF2B5EF4-FFF2-40B4-BE49-F238E27FC236}">
                  <a16:creationId xmlns:a16="http://schemas.microsoft.com/office/drawing/2014/main" id="{DCD05366-3BB7-4558-A36A-0128256E0E9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1" name="דיו 410">
              <a:extLst>
                <a:ext uri="{FF2B5EF4-FFF2-40B4-BE49-F238E27FC236}">
                  <a16:creationId xmlns:a16="http://schemas.microsoft.com/office/drawing/2014/main" id="{E48FA0F9-B7B9-4FE1-B987-EABA25DADF1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2" name="דיו 411">
              <a:extLst>
                <a:ext uri="{FF2B5EF4-FFF2-40B4-BE49-F238E27FC236}">
                  <a16:creationId xmlns:a16="http://schemas.microsoft.com/office/drawing/2014/main" id="{18A92C1E-CBA2-4954-9AC6-A5E84D2AFCB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3" name="דיו 412">
              <a:extLst>
                <a:ext uri="{FF2B5EF4-FFF2-40B4-BE49-F238E27FC236}">
                  <a16:creationId xmlns:a16="http://schemas.microsoft.com/office/drawing/2014/main" id="{89C08DBF-17DA-4208-95B1-8E0BFC41118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4" name="דיו 413">
              <a:extLst>
                <a:ext uri="{FF2B5EF4-FFF2-40B4-BE49-F238E27FC236}">
                  <a16:creationId xmlns:a16="http://schemas.microsoft.com/office/drawing/2014/main" id="{E0D93641-7BA7-4432-BE43-7C650AD325F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5" name="דיו 414">
              <a:extLst>
                <a:ext uri="{FF2B5EF4-FFF2-40B4-BE49-F238E27FC236}">
                  <a16:creationId xmlns:a16="http://schemas.microsoft.com/office/drawing/2014/main" id="{A0B7B097-2ADC-4E08-9053-5DB09DD3E2D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6" name="דיו 415">
              <a:extLst>
                <a:ext uri="{FF2B5EF4-FFF2-40B4-BE49-F238E27FC236}">
                  <a16:creationId xmlns:a16="http://schemas.microsoft.com/office/drawing/2014/main" id="{4F0C0BF1-3AE2-4114-80E1-AFBC52B88D1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7" name="דיו 416">
              <a:extLst>
                <a:ext uri="{FF2B5EF4-FFF2-40B4-BE49-F238E27FC236}">
                  <a16:creationId xmlns:a16="http://schemas.microsoft.com/office/drawing/2014/main" id="{5536692D-5CB1-40BF-9E0F-AA1BDCCC78F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18" name="דיו 417">
              <a:extLst>
                <a:ext uri="{FF2B5EF4-FFF2-40B4-BE49-F238E27FC236}">
                  <a16:creationId xmlns:a16="http://schemas.microsoft.com/office/drawing/2014/main" id="{7D3D179A-0C1E-44F5-AC6E-7FAF7E64BE8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19" name="דיו 418">
              <a:extLst>
                <a:ext uri="{FF2B5EF4-FFF2-40B4-BE49-F238E27FC236}">
                  <a16:creationId xmlns:a16="http://schemas.microsoft.com/office/drawing/2014/main" id="{364127C1-E1B6-40FF-BBDD-147A8D33DF7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0" name="דיו 419">
              <a:extLst>
                <a:ext uri="{FF2B5EF4-FFF2-40B4-BE49-F238E27FC236}">
                  <a16:creationId xmlns:a16="http://schemas.microsoft.com/office/drawing/2014/main" id="{CA16DC7F-2EA8-4CD5-BCF7-31467337FA5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1" name="דיו 420">
              <a:extLst>
                <a:ext uri="{FF2B5EF4-FFF2-40B4-BE49-F238E27FC236}">
                  <a16:creationId xmlns:a16="http://schemas.microsoft.com/office/drawing/2014/main" id="{59A89733-D850-4894-9C5A-D028865D0FB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2" name="דיו 421">
              <a:extLst>
                <a:ext uri="{FF2B5EF4-FFF2-40B4-BE49-F238E27FC236}">
                  <a16:creationId xmlns:a16="http://schemas.microsoft.com/office/drawing/2014/main" id="{09ED179B-66B1-4AE3-BCAC-BB93E3CE29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3" name="דיו 422">
              <a:extLst>
                <a:ext uri="{FF2B5EF4-FFF2-40B4-BE49-F238E27FC236}">
                  <a16:creationId xmlns:a16="http://schemas.microsoft.com/office/drawing/2014/main" id="{1E21000E-A708-4FE2-9D51-E55D2F6EE36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4" name="דיו 423">
              <a:extLst>
                <a:ext uri="{FF2B5EF4-FFF2-40B4-BE49-F238E27FC236}">
                  <a16:creationId xmlns:a16="http://schemas.microsoft.com/office/drawing/2014/main" id="{FDFC5756-C797-47F0-BE94-F07AFF3A39F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5" name="דיו 424">
              <a:extLst>
                <a:ext uri="{FF2B5EF4-FFF2-40B4-BE49-F238E27FC236}">
                  <a16:creationId xmlns:a16="http://schemas.microsoft.com/office/drawing/2014/main" id="{5E169891-2990-44DF-B1A7-2A4B9D26E54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6" name="דיו 425">
              <a:extLst>
                <a:ext uri="{FF2B5EF4-FFF2-40B4-BE49-F238E27FC236}">
                  <a16:creationId xmlns:a16="http://schemas.microsoft.com/office/drawing/2014/main" id="{072395F8-D8BC-4AA2-A9A8-BCD24C04669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7" name="דיו 426">
              <a:extLst>
                <a:ext uri="{FF2B5EF4-FFF2-40B4-BE49-F238E27FC236}">
                  <a16:creationId xmlns:a16="http://schemas.microsoft.com/office/drawing/2014/main" id="{CAAF44F3-91D8-4CC8-9ED3-083EC3D6084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28" name="דיו 427">
              <a:extLst>
                <a:ext uri="{FF2B5EF4-FFF2-40B4-BE49-F238E27FC236}">
                  <a16:creationId xmlns:a16="http://schemas.microsoft.com/office/drawing/2014/main" id="{439FB622-CE83-47CE-8698-95002DB2842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29" name="דיו 428">
              <a:extLst>
                <a:ext uri="{FF2B5EF4-FFF2-40B4-BE49-F238E27FC236}">
                  <a16:creationId xmlns:a16="http://schemas.microsoft.com/office/drawing/2014/main" id="{DDC245FD-89A8-4FE6-A729-4CEADD7A8EF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0" name="דיו 429">
              <a:extLst>
                <a:ext uri="{FF2B5EF4-FFF2-40B4-BE49-F238E27FC236}">
                  <a16:creationId xmlns:a16="http://schemas.microsoft.com/office/drawing/2014/main" id="{8BA4379D-2439-4968-A809-EE395B67FF1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1" name="דיו 430">
              <a:extLst>
                <a:ext uri="{FF2B5EF4-FFF2-40B4-BE49-F238E27FC236}">
                  <a16:creationId xmlns:a16="http://schemas.microsoft.com/office/drawing/2014/main" id="{61CEB76E-3103-4191-A0B1-9B245C3EA98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2" name="דיו 431">
              <a:extLst>
                <a:ext uri="{FF2B5EF4-FFF2-40B4-BE49-F238E27FC236}">
                  <a16:creationId xmlns:a16="http://schemas.microsoft.com/office/drawing/2014/main" id="{1850AAF5-5323-4BD5-8A38-BE6EC349613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3" name="דיו 432">
              <a:extLst>
                <a:ext uri="{FF2B5EF4-FFF2-40B4-BE49-F238E27FC236}">
                  <a16:creationId xmlns:a16="http://schemas.microsoft.com/office/drawing/2014/main" id="{62B48D65-85F6-4656-8608-52F7CB62197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4" name="דיו 433">
              <a:extLst>
                <a:ext uri="{FF2B5EF4-FFF2-40B4-BE49-F238E27FC236}">
                  <a16:creationId xmlns:a16="http://schemas.microsoft.com/office/drawing/2014/main" id="{B8FD4286-7582-43AA-8143-ED02DDBDFDB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5" name="דיו 434">
              <a:extLst>
                <a:ext uri="{FF2B5EF4-FFF2-40B4-BE49-F238E27FC236}">
                  <a16:creationId xmlns:a16="http://schemas.microsoft.com/office/drawing/2014/main" id="{2CA1D732-0541-42C6-AC11-4A75E297928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6" name="דיו 435">
              <a:extLst>
                <a:ext uri="{FF2B5EF4-FFF2-40B4-BE49-F238E27FC236}">
                  <a16:creationId xmlns:a16="http://schemas.microsoft.com/office/drawing/2014/main" id="{2BE6870E-B617-4DF4-AED8-C982ABE019E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7" name="דיו 436">
              <a:extLst>
                <a:ext uri="{FF2B5EF4-FFF2-40B4-BE49-F238E27FC236}">
                  <a16:creationId xmlns:a16="http://schemas.microsoft.com/office/drawing/2014/main" id="{A89A5ED3-D7FF-44AB-8D99-24C974AA475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38" name="דיו 437">
              <a:extLst>
                <a:ext uri="{FF2B5EF4-FFF2-40B4-BE49-F238E27FC236}">
                  <a16:creationId xmlns:a16="http://schemas.microsoft.com/office/drawing/2014/main" id="{803E05CC-42D6-4E1D-818E-1DC6F16EE2C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39" name="דיו 438">
              <a:extLst>
                <a:ext uri="{FF2B5EF4-FFF2-40B4-BE49-F238E27FC236}">
                  <a16:creationId xmlns:a16="http://schemas.microsoft.com/office/drawing/2014/main" id="{08DAA3CE-587A-4B81-82D7-E96C3E4A1C7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0" name="דיו 439">
              <a:extLst>
                <a:ext uri="{FF2B5EF4-FFF2-40B4-BE49-F238E27FC236}">
                  <a16:creationId xmlns:a16="http://schemas.microsoft.com/office/drawing/2014/main" id="{2895E959-79C9-4200-8533-1B1018B7B8F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1" name="דיו 440">
              <a:extLst>
                <a:ext uri="{FF2B5EF4-FFF2-40B4-BE49-F238E27FC236}">
                  <a16:creationId xmlns:a16="http://schemas.microsoft.com/office/drawing/2014/main" id="{FFC39743-AE56-4077-AC22-4EC05168A2C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2" name="דיו 441">
              <a:extLst>
                <a:ext uri="{FF2B5EF4-FFF2-40B4-BE49-F238E27FC236}">
                  <a16:creationId xmlns:a16="http://schemas.microsoft.com/office/drawing/2014/main" id="{82064393-9F20-4280-B386-552B7F225C3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3" name="דיו 442">
              <a:extLst>
                <a:ext uri="{FF2B5EF4-FFF2-40B4-BE49-F238E27FC236}">
                  <a16:creationId xmlns:a16="http://schemas.microsoft.com/office/drawing/2014/main" id="{7F3163EF-1F95-4B35-B34C-5446262A0B5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4" name="דיו 443">
              <a:extLst>
                <a:ext uri="{FF2B5EF4-FFF2-40B4-BE49-F238E27FC236}">
                  <a16:creationId xmlns:a16="http://schemas.microsoft.com/office/drawing/2014/main" id="{EF7D387B-A3B1-437D-8530-69101669CED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5" name="דיו 444">
              <a:extLst>
                <a:ext uri="{FF2B5EF4-FFF2-40B4-BE49-F238E27FC236}">
                  <a16:creationId xmlns:a16="http://schemas.microsoft.com/office/drawing/2014/main" id="{DBFDBF45-558B-4998-BB8E-D1EA7FB1A19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6" name="דיו 445">
              <a:extLst>
                <a:ext uri="{FF2B5EF4-FFF2-40B4-BE49-F238E27FC236}">
                  <a16:creationId xmlns:a16="http://schemas.microsoft.com/office/drawing/2014/main" id="{AD5BB9DA-D5D7-4716-9EC0-DED6A6C4DC6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7" name="דיו 446">
              <a:extLst>
                <a:ext uri="{FF2B5EF4-FFF2-40B4-BE49-F238E27FC236}">
                  <a16:creationId xmlns:a16="http://schemas.microsoft.com/office/drawing/2014/main" id="{69F8667F-69D8-46B4-9267-8621D4BD5DD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48" name="דיו 447">
              <a:extLst>
                <a:ext uri="{FF2B5EF4-FFF2-40B4-BE49-F238E27FC236}">
                  <a16:creationId xmlns:a16="http://schemas.microsoft.com/office/drawing/2014/main" id="{4567ABAA-1564-4D87-87AC-8D34FCBFDD1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49" name="דיו 448">
              <a:extLst>
                <a:ext uri="{FF2B5EF4-FFF2-40B4-BE49-F238E27FC236}">
                  <a16:creationId xmlns:a16="http://schemas.microsoft.com/office/drawing/2014/main" id="{35F546B2-2369-4F08-9D7E-23293E40627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0" name="דיו 449">
              <a:extLst>
                <a:ext uri="{FF2B5EF4-FFF2-40B4-BE49-F238E27FC236}">
                  <a16:creationId xmlns:a16="http://schemas.microsoft.com/office/drawing/2014/main" id="{CA874C58-58C6-46AB-AFCD-2E15931696C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1" name="דיו 450">
              <a:extLst>
                <a:ext uri="{FF2B5EF4-FFF2-40B4-BE49-F238E27FC236}">
                  <a16:creationId xmlns:a16="http://schemas.microsoft.com/office/drawing/2014/main" id="{46225663-F4B2-4843-B402-6778955DA70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2" name="דיו 451">
              <a:extLst>
                <a:ext uri="{FF2B5EF4-FFF2-40B4-BE49-F238E27FC236}">
                  <a16:creationId xmlns:a16="http://schemas.microsoft.com/office/drawing/2014/main" id="{1E170FC7-915B-473F-8EEB-366784EE746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3" name="דיו 452">
              <a:extLst>
                <a:ext uri="{FF2B5EF4-FFF2-40B4-BE49-F238E27FC236}">
                  <a16:creationId xmlns:a16="http://schemas.microsoft.com/office/drawing/2014/main" id="{5312DE93-543B-472C-AE58-CB21065B47E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4" name="דיו 453">
              <a:extLst>
                <a:ext uri="{FF2B5EF4-FFF2-40B4-BE49-F238E27FC236}">
                  <a16:creationId xmlns:a16="http://schemas.microsoft.com/office/drawing/2014/main" id="{EB6DB40B-6528-47DB-AB71-2190CF90DEA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5" name="דיו 454">
              <a:extLst>
                <a:ext uri="{FF2B5EF4-FFF2-40B4-BE49-F238E27FC236}">
                  <a16:creationId xmlns:a16="http://schemas.microsoft.com/office/drawing/2014/main" id="{D343321D-CBD3-484D-A240-9EF44EF25BC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6" name="דיו 455">
              <a:extLst>
                <a:ext uri="{FF2B5EF4-FFF2-40B4-BE49-F238E27FC236}">
                  <a16:creationId xmlns:a16="http://schemas.microsoft.com/office/drawing/2014/main" id="{6AE84065-43EF-42D4-83DC-3C5BD44D33C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7" name="דיו 456">
              <a:extLst>
                <a:ext uri="{FF2B5EF4-FFF2-40B4-BE49-F238E27FC236}">
                  <a16:creationId xmlns:a16="http://schemas.microsoft.com/office/drawing/2014/main" id="{AE838497-7A75-4BD4-97EE-88342F21D5A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58" name="דיו 457">
              <a:extLst>
                <a:ext uri="{FF2B5EF4-FFF2-40B4-BE49-F238E27FC236}">
                  <a16:creationId xmlns:a16="http://schemas.microsoft.com/office/drawing/2014/main" id="{4B0188A2-E969-4835-A318-724CB3C0E81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59" name="דיו 458">
              <a:extLst>
                <a:ext uri="{FF2B5EF4-FFF2-40B4-BE49-F238E27FC236}">
                  <a16:creationId xmlns:a16="http://schemas.microsoft.com/office/drawing/2014/main" id="{EF5ACB09-7AC7-4D23-A734-36658DADC92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0" name="דיו 459">
              <a:extLst>
                <a:ext uri="{FF2B5EF4-FFF2-40B4-BE49-F238E27FC236}">
                  <a16:creationId xmlns:a16="http://schemas.microsoft.com/office/drawing/2014/main" id="{38FC4104-CC94-4686-9C2D-E6B158D7114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1" name="דיו 460">
              <a:extLst>
                <a:ext uri="{FF2B5EF4-FFF2-40B4-BE49-F238E27FC236}">
                  <a16:creationId xmlns:a16="http://schemas.microsoft.com/office/drawing/2014/main" id="{9D511255-A117-45C7-97D4-5945317636B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2" name="דיו 461">
              <a:extLst>
                <a:ext uri="{FF2B5EF4-FFF2-40B4-BE49-F238E27FC236}">
                  <a16:creationId xmlns:a16="http://schemas.microsoft.com/office/drawing/2014/main" id="{D3CC6C16-D5DF-497D-90A5-C7A73DDCD99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3" name="דיו 462">
              <a:extLst>
                <a:ext uri="{FF2B5EF4-FFF2-40B4-BE49-F238E27FC236}">
                  <a16:creationId xmlns:a16="http://schemas.microsoft.com/office/drawing/2014/main" id="{59EC6CC0-63F8-4FF1-ADD7-E58F1CDF619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4" name="דיו 463">
              <a:extLst>
                <a:ext uri="{FF2B5EF4-FFF2-40B4-BE49-F238E27FC236}">
                  <a16:creationId xmlns:a16="http://schemas.microsoft.com/office/drawing/2014/main" id="{A2A62377-B09C-43B8-A414-EB6F5845DC6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5" name="דיו 464">
              <a:extLst>
                <a:ext uri="{FF2B5EF4-FFF2-40B4-BE49-F238E27FC236}">
                  <a16:creationId xmlns:a16="http://schemas.microsoft.com/office/drawing/2014/main" id="{8DCFA84D-E692-4B56-BE4F-E45A0F8DC38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6" name="דיו 465">
              <a:extLst>
                <a:ext uri="{FF2B5EF4-FFF2-40B4-BE49-F238E27FC236}">
                  <a16:creationId xmlns:a16="http://schemas.microsoft.com/office/drawing/2014/main" id="{557F11E9-1E08-4B87-834A-6358CC285D9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7" name="דיו 466">
              <a:extLst>
                <a:ext uri="{FF2B5EF4-FFF2-40B4-BE49-F238E27FC236}">
                  <a16:creationId xmlns:a16="http://schemas.microsoft.com/office/drawing/2014/main" id="{E5906E28-CF80-4EE0-ADB1-AAE8551F236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68" name="דיו 467">
              <a:extLst>
                <a:ext uri="{FF2B5EF4-FFF2-40B4-BE49-F238E27FC236}">
                  <a16:creationId xmlns:a16="http://schemas.microsoft.com/office/drawing/2014/main" id="{FFD76C9F-18C4-4255-8887-48405EBAAF4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69" name="דיו 468">
              <a:extLst>
                <a:ext uri="{FF2B5EF4-FFF2-40B4-BE49-F238E27FC236}">
                  <a16:creationId xmlns:a16="http://schemas.microsoft.com/office/drawing/2014/main" id="{847CB61F-8DB8-4959-8BA0-6CE4748CA22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0" name="דיו 469">
              <a:extLst>
                <a:ext uri="{FF2B5EF4-FFF2-40B4-BE49-F238E27FC236}">
                  <a16:creationId xmlns:a16="http://schemas.microsoft.com/office/drawing/2014/main" id="{E575DD0A-2C74-4C80-85B3-AD7F0884728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1" name="דיו 470">
              <a:extLst>
                <a:ext uri="{FF2B5EF4-FFF2-40B4-BE49-F238E27FC236}">
                  <a16:creationId xmlns:a16="http://schemas.microsoft.com/office/drawing/2014/main" id="{5C25C336-0C76-48B4-9AA6-512F3A6F3AA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2" name="דיו 471">
              <a:extLst>
                <a:ext uri="{FF2B5EF4-FFF2-40B4-BE49-F238E27FC236}">
                  <a16:creationId xmlns:a16="http://schemas.microsoft.com/office/drawing/2014/main" id="{9ABAF48E-A7AC-4524-A317-92464FA6E2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3" name="דיו 472">
              <a:extLst>
                <a:ext uri="{FF2B5EF4-FFF2-40B4-BE49-F238E27FC236}">
                  <a16:creationId xmlns:a16="http://schemas.microsoft.com/office/drawing/2014/main" id="{6AB7DF3A-7A72-4EF9-934B-E8032464E4D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4" name="דיו 473">
              <a:extLst>
                <a:ext uri="{FF2B5EF4-FFF2-40B4-BE49-F238E27FC236}">
                  <a16:creationId xmlns:a16="http://schemas.microsoft.com/office/drawing/2014/main" id="{8F9CE45D-1BED-4103-A3F2-A74BF2EA175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5" name="דיו 474">
              <a:extLst>
                <a:ext uri="{FF2B5EF4-FFF2-40B4-BE49-F238E27FC236}">
                  <a16:creationId xmlns:a16="http://schemas.microsoft.com/office/drawing/2014/main" id="{2393F1F6-69BA-4F83-8D38-BBAC37511A2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6" name="דיו 475">
              <a:extLst>
                <a:ext uri="{FF2B5EF4-FFF2-40B4-BE49-F238E27FC236}">
                  <a16:creationId xmlns:a16="http://schemas.microsoft.com/office/drawing/2014/main" id="{9B6093E3-88CE-43D1-BB9E-3215EACD9A7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7" name="דיו 476">
              <a:extLst>
                <a:ext uri="{FF2B5EF4-FFF2-40B4-BE49-F238E27FC236}">
                  <a16:creationId xmlns:a16="http://schemas.microsoft.com/office/drawing/2014/main" id="{9CA5A5C1-B4CD-47BE-91A0-3875AF1C232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78" name="דיו 477">
              <a:extLst>
                <a:ext uri="{FF2B5EF4-FFF2-40B4-BE49-F238E27FC236}">
                  <a16:creationId xmlns:a16="http://schemas.microsoft.com/office/drawing/2014/main" id="{CE775D13-4FB4-40C7-A613-59EB15F2ADF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79" name="דיו 478">
              <a:extLst>
                <a:ext uri="{FF2B5EF4-FFF2-40B4-BE49-F238E27FC236}">
                  <a16:creationId xmlns:a16="http://schemas.microsoft.com/office/drawing/2014/main" id="{BC16C49E-6870-4017-92EC-A49B6DD9DEB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0" name="דיו 479">
              <a:extLst>
                <a:ext uri="{FF2B5EF4-FFF2-40B4-BE49-F238E27FC236}">
                  <a16:creationId xmlns:a16="http://schemas.microsoft.com/office/drawing/2014/main" id="{9E29A856-498A-4A43-904A-FE54F7D0FDE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1" name="דיו 480">
              <a:extLst>
                <a:ext uri="{FF2B5EF4-FFF2-40B4-BE49-F238E27FC236}">
                  <a16:creationId xmlns:a16="http://schemas.microsoft.com/office/drawing/2014/main" id="{FD8AC5B4-3C00-43C3-9EA1-434126A66B1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2" name="דיו 481">
              <a:extLst>
                <a:ext uri="{FF2B5EF4-FFF2-40B4-BE49-F238E27FC236}">
                  <a16:creationId xmlns:a16="http://schemas.microsoft.com/office/drawing/2014/main" id="{02107822-14A8-48F0-B8DB-1340FA1F407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3" name="דיו 482">
              <a:extLst>
                <a:ext uri="{FF2B5EF4-FFF2-40B4-BE49-F238E27FC236}">
                  <a16:creationId xmlns:a16="http://schemas.microsoft.com/office/drawing/2014/main" id="{7222B747-4752-4F45-A87F-5C5738305D3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4" name="דיו 483">
              <a:extLst>
                <a:ext uri="{FF2B5EF4-FFF2-40B4-BE49-F238E27FC236}">
                  <a16:creationId xmlns:a16="http://schemas.microsoft.com/office/drawing/2014/main" id="{67DD813E-B3A0-470E-A738-7A31A79D5F4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5" name="דיו 484">
              <a:extLst>
                <a:ext uri="{FF2B5EF4-FFF2-40B4-BE49-F238E27FC236}">
                  <a16:creationId xmlns:a16="http://schemas.microsoft.com/office/drawing/2014/main" id="{70A1F873-2B99-41B3-824D-09750B6AA09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19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6" name="דיו 485">
              <a:extLst>
                <a:ext uri="{FF2B5EF4-FFF2-40B4-BE49-F238E27FC236}">
                  <a16:creationId xmlns:a16="http://schemas.microsoft.com/office/drawing/2014/main" id="{2F65820D-02DA-4EFA-AE5A-5142613F2D0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7" name="דיו 486">
              <a:extLst>
                <a:ext uri="{FF2B5EF4-FFF2-40B4-BE49-F238E27FC236}">
                  <a16:creationId xmlns:a16="http://schemas.microsoft.com/office/drawing/2014/main" id="{E837E61A-C944-4EDA-BBAE-6C4A317D8C8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88" name="דיו 487">
              <a:extLst>
                <a:ext uri="{FF2B5EF4-FFF2-40B4-BE49-F238E27FC236}">
                  <a16:creationId xmlns:a16="http://schemas.microsoft.com/office/drawing/2014/main" id="{F5D0BDA4-24FB-4982-BBEB-88466F0AAEF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89" name="דיו 488">
              <a:extLst>
                <a:ext uri="{FF2B5EF4-FFF2-40B4-BE49-F238E27FC236}">
                  <a16:creationId xmlns:a16="http://schemas.microsoft.com/office/drawing/2014/main" id="{61D62519-BB25-422B-8191-4097F189291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0" name="דיו 489">
              <a:extLst>
                <a:ext uri="{FF2B5EF4-FFF2-40B4-BE49-F238E27FC236}">
                  <a16:creationId xmlns:a16="http://schemas.microsoft.com/office/drawing/2014/main" id="{488D64B9-2D7B-46F6-AAEE-0A16B44AEDA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1" name="דיו 490">
              <a:extLst>
                <a:ext uri="{FF2B5EF4-FFF2-40B4-BE49-F238E27FC236}">
                  <a16:creationId xmlns:a16="http://schemas.microsoft.com/office/drawing/2014/main" id="{F2929076-A053-4C3E-BAF7-C1C8436EEDB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2" name="דיו 491">
              <a:extLst>
                <a:ext uri="{FF2B5EF4-FFF2-40B4-BE49-F238E27FC236}">
                  <a16:creationId xmlns:a16="http://schemas.microsoft.com/office/drawing/2014/main" id="{52B0563E-ECF4-48E6-8F15-29970063239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3" name="דיו 492">
              <a:extLst>
                <a:ext uri="{FF2B5EF4-FFF2-40B4-BE49-F238E27FC236}">
                  <a16:creationId xmlns:a16="http://schemas.microsoft.com/office/drawing/2014/main" id="{6C072CDF-0C71-4A7B-A3BD-D4587B15F2C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4" name="דיו 493">
              <a:extLst>
                <a:ext uri="{FF2B5EF4-FFF2-40B4-BE49-F238E27FC236}">
                  <a16:creationId xmlns:a16="http://schemas.microsoft.com/office/drawing/2014/main" id="{4F0B229E-DB0A-4262-9E60-8100B2FB4B1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5" name="דיו 494">
              <a:extLst>
                <a:ext uri="{FF2B5EF4-FFF2-40B4-BE49-F238E27FC236}">
                  <a16:creationId xmlns:a16="http://schemas.microsoft.com/office/drawing/2014/main" id="{6EA4FD0B-B363-4521-A46E-C2375EB29B3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6" name="דיו 495">
              <a:extLst>
                <a:ext uri="{FF2B5EF4-FFF2-40B4-BE49-F238E27FC236}">
                  <a16:creationId xmlns:a16="http://schemas.microsoft.com/office/drawing/2014/main" id="{1F37201F-8120-421E-8849-1CFD79A80AD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7" name="דיו 496">
              <a:extLst>
                <a:ext uri="{FF2B5EF4-FFF2-40B4-BE49-F238E27FC236}">
                  <a16:creationId xmlns:a16="http://schemas.microsoft.com/office/drawing/2014/main" id="{518E16A8-F3B1-41B4-98F9-E85B325E162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498" name="דיו 497">
              <a:extLst>
                <a:ext uri="{FF2B5EF4-FFF2-40B4-BE49-F238E27FC236}">
                  <a16:creationId xmlns:a16="http://schemas.microsoft.com/office/drawing/2014/main" id="{D00CAE55-5D26-4E7C-89C1-0141FED90F7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499" name="דיו 498">
              <a:extLst>
                <a:ext uri="{FF2B5EF4-FFF2-40B4-BE49-F238E27FC236}">
                  <a16:creationId xmlns:a16="http://schemas.microsoft.com/office/drawing/2014/main" id="{E1BF4F2A-0844-4A55-9C8C-2A783FC0AB5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0" name="דיו 499">
              <a:extLst>
                <a:ext uri="{FF2B5EF4-FFF2-40B4-BE49-F238E27FC236}">
                  <a16:creationId xmlns:a16="http://schemas.microsoft.com/office/drawing/2014/main" id="{D3BA8F5D-BF86-4BC6-8819-1808CD19332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1" name="דיו 500">
              <a:extLst>
                <a:ext uri="{FF2B5EF4-FFF2-40B4-BE49-F238E27FC236}">
                  <a16:creationId xmlns:a16="http://schemas.microsoft.com/office/drawing/2014/main" id="{6D71A5C2-0884-4FBA-B08B-ABB07EBA2E2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2" name="דיו 501">
              <a:extLst>
                <a:ext uri="{FF2B5EF4-FFF2-40B4-BE49-F238E27FC236}">
                  <a16:creationId xmlns:a16="http://schemas.microsoft.com/office/drawing/2014/main" id="{9902648F-C36B-4B09-BFA7-6C425B134D6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3" name="דיו 502">
              <a:extLst>
                <a:ext uri="{FF2B5EF4-FFF2-40B4-BE49-F238E27FC236}">
                  <a16:creationId xmlns:a16="http://schemas.microsoft.com/office/drawing/2014/main" id="{04739645-F812-4D71-8BE9-83BA5467F20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4" name="דיו 503">
              <a:extLst>
                <a:ext uri="{FF2B5EF4-FFF2-40B4-BE49-F238E27FC236}">
                  <a16:creationId xmlns:a16="http://schemas.microsoft.com/office/drawing/2014/main" id="{8052AD1A-70C4-4454-8275-86D08064E5C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5" name="דיו 504">
              <a:extLst>
                <a:ext uri="{FF2B5EF4-FFF2-40B4-BE49-F238E27FC236}">
                  <a16:creationId xmlns:a16="http://schemas.microsoft.com/office/drawing/2014/main" id="{61F1CCA1-EC29-4B1E-BFCD-C3B2133D384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6" name="דיו 505">
              <a:extLst>
                <a:ext uri="{FF2B5EF4-FFF2-40B4-BE49-F238E27FC236}">
                  <a16:creationId xmlns:a16="http://schemas.microsoft.com/office/drawing/2014/main" id="{33B1C00E-15AB-4350-9E19-A1A400C918F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7" name="דיו 506">
              <a:extLst>
                <a:ext uri="{FF2B5EF4-FFF2-40B4-BE49-F238E27FC236}">
                  <a16:creationId xmlns:a16="http://schemas.microsoft.com/office/drawing/2014/main" id="{B51281AD-FF11-44F5-AF51-2965F49A3C6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08" name="דיו 507">
              <a:extLst>
                <a:ext uri="{FF2B5EF4-FFF2-40B4-BE49-F238E27FC236}">
                  <a16:creationId xmlns:a16="http://schemas.microsoft.com/office/drawing/2014/main" id="{1F1B1C1D-E68A-491A-8346-BB5052ADC52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09" name="דיו 508">
              <a:extLst>
                <a:ext uri="{FF2B5EF4-FFF2-40B4-BE49-F238E27FC236}">
                  <a16:creationId xmlns:a16="http://schemas.microsoft.com/office/drawing/2014/main" id="{3BEF460C-930D-4BA2-9631-A32C77FF610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0" name="דיו 509">
              <a:extLst>
                <a:ext uri="{FF2B5EF4-FFF2-40B4-BE49-F238E27FC236}">
                  <a16:creationId xmlns:a16="http://schemas.microsoft.com/office/drawing/2014/main" id="{A76CF9EC-B08F-45C2-8FD5-6393417571B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1" name="דיו 510">
              <a:extLst>
                <a:ext uri="{FF2B5EF4-FFF2-40B4-BE49-F238E27FC236}">
                  <a16:creationId xmlns:a16="http://schemas.microsoft.com/office/drawing/2014/main" id="{4A44E905-A431-4FAE-A9E9-71FC6CA390B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2" name="דיו 511">
              <a:extLst>
                <a:ext uri="{FF2B5EF4-FFF2-40B4-BE49-F238E27FC236}">
                  <a16:creationId xmlns:a16="http://schemas.microsoft.com/office/drawing/2014/main" id="{4C432F25-E030-421B-9CCF-134CA5AF543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3" name="דיו 512">
              <a:extLst>
                <a:ext uri="{FF2B5EF4-FFF2-40B4-BE49-F238E27FC236}">
                  <a16:creationId xmlns:a16="http://schemas.microsoft.com/office/drawing/2014/main" id="{30F0D064-34A9-4D7B-9FC9-31406F12E20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4" name="דיו 513">
              <a:extLst>
                <a:ext uri="{FF2B5EF4-FFF2-40B4-BE49-F238E27FC236}">
                  <a16:creationId xmlns:a16="http://schemas.microsoft.com/office/drawing/2014/main" id="{5570507E-5CDE-4D17-BE8E-64BDE54BE84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5" name="דיו 514">
              <a:extLst>
                <a:ext uri="{FF2B5EF4-FFF2-40B4-BE49-F238E27FC236}">
                  <a16:creationId xmlns:a16="http://schemas.microsoft.com/office/drawing/2014/main" id="{22A0ECDC-2825-4648-B1CE-EA45FF5BE10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6" name="דיו 515">
              <a:extLst>
                <a:ext uri="{FF2B5EF4-FFF2-40B4-BE49-F238E27FC236}">
                  <a16:creationId xmlns:a16="http://schemas.microsoft.com/office/drawing/2014/main" id="{216D39FF-E889-45E6-887D-BE805006A0E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7" name="דיו 516">
              <a:extLst>
                <a:ext uri="{FF2B5EF4-FFF2-40B4-BE49-F238E27FC236}">
                  <a16:creationId xmlns:a16="http://schemas.microsoft.com/office/drawing/2014/main" id="{F32D8274-C604-4A13-86D7-7348E524A62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18" name="דיו 517">
              <a:extLst>
                <a:ext uri="{FF2B5EF4-FFF2-40B4-BE49-F238E27FC236}">
                  <a16:creationId xmlns:a16="http://schemas.microsoft.com/office/drawing/2014/main" id="{58A56FC2-C382-4A8E-BF80-99465F88F05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19" name="דיו 518">
              <a:extLst>
                <a:ext uri="{FF2B5EF4-FFF2-40B4-BE49-F238E27FC236}">
                  <a16:creationId xmlns:a16="http://schemas.microsoft.com/office/drawing/2014/main" id="{16169960-57CD-42B7-ABAE-C9A1D4C1630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0" name="דיו 519">
              <a:extLst>
                <a:ext uri="{FF2B5EF4-FFF2-40B4-BE49-F238E27FC236}">
                  <a16:creationId xmlns:a16="http://schemas.microsoft.com/office/drawing/2014/main" id="{09F8CFCE-7130-4004-9703-B3B540BBCA7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1" name="דיו 520">
              <a:extLst>
                <a:ext uri="{FF2B5EF4-FFF2-40B4-BE49-F238E27FC236}">
                  <a16:creationId xmlns:a16="http://schemas.microsoft.com/office/drawing/2014/main" id="{DB9C8B5D-F651-46DB-B914-FC65A6ADB96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2" name="דיו 521">
              <a:extLst>
                <a:ext uri="{FF2B5EF4-FFF2-40B4-BE49-F238E27FC236}">
                  <a16:creationId xmlns:a16="http://schemas.microsoft.com/office/drawing/2014/main" id="{0CD3A08C-5D71-4017-AA02-2F392B16CCD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3" name="דיו 522">
              <a:extLst>
                <a:ext uri="{FF2B5EF4-FFF2-40B4-BE49-F238E27FC236}">
                  <a16:creationId xmlns:a16="http://schemas.microsoft.com/office/drawing/2014/main" id="{B716DA35-DF34-4A06-8137-F776712681B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4" name="דיו 523">
              <a:extLst>
                <a:ext uri="{FF2B5EF4-FFF2-40B4-BE49-F238E27FC236}">
                  <a16:creationId xmlns:a16="http://schemas.microsoft.com/office/drawing/2014/main" id="{EC7898DD-229C-4992-92B5-E677218C161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5" name="דיו 524">
              <a:extLst>
                <a:ext uri="{FF2B5EF4-FFF2-40B4-BE49-F238E27FC236}">
                  <a16:creationId xmlns:a16="http://schemas.microsoft.com/office/drawing/2014/main" id="{3168EADF-D625-483D-88D4-B5F8980E79A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6" name="דיו 525">
              <a:extLst>
                <a:ext uri="{FF2B5EF4-FFF2-40B4-BE49-F238E27FC236}">
                  <a16:creationId xmlns:a16="http://schemas.microsoft.com/office/drawing/2014/main" id="{8B750751-4DC0-4AA6-A0F4-846B51A4A2E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7" name="דיו 526">
              <a:extLst>
                <a:ext uri="{FF2B5EF4-FFF2-40B4-BE49-F238E27FC236}">
                  <a16:creationId xmlns:a16="http://schemas.microsoft.com/office/drawing/2014/main" id="{5FD39288-2EEF-4D47-B4D8-1342ECC9EA7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28" name="דיו 527">
              <a:extLst>
                <a:ext uri="{FF2B5EF4-FFF2-40B4-BE49-F238E27FC236}">
                  <a16:creationId xmlns:a16="http://schemas.microsoft.com/office/drawing/2014/main" id="{238916E9-704D-47B4-809A-058E1A81FA3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29" name="דיו 528">
              <a:extLst>
                <a:ext uri="{FF2B5EF4-FFF2-40B4-BE49-F238E27FC236}">
                  <a16:creationId xmlns:a16="http://schemas.microsoft.com/office/drawing/2014/main" id="{A6153BFA-1F6F-4A5D-BC13-8AA64D6F5E1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0" name="דיו 529">
              <a:extLst>
                <a:ext uri="{FF2B5EF4-FFF2-40B4-BE49-F238E27FC236}">
                  <a16:creationId xmlns:a16="http://schemas.microsoft.com/office/drawing/2014/main" id="{4DED3E77-A28F-4875-9B71-A4FC276718D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1" name="דיו 530">
              <a:extLst>
                <a:ext uri="{FF2B5EF4-FFF2-40B4-BE49-F238E27FC236}">
                  <a16:creationId xmlns:a16="http://schemas.microsoft.com/office/drawing/2014/main" id="{56EDFAC3-A0D7-4426-ACF9-2082B40A7B7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2" name="דיו 531">
              <a:extLst>
                <a:ext uri="{FF2B5EF4-FFF2-40B4-BE49-F238E27FC236}">
                  <a16:creationId xmlns:a16="http://schemas.microsoft.com/office/drawing/2014/main" id="{B6A676E0-037B-47B0-9843-F4CA14BC2F7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3" name="דיו 532">
              <a:extLst>
                <a:ext uri="{FF2B5EF4-FFF2-40B4-BE49-F238E27FC236}">
                  <a16:creationId xmlns:a16="http://schemas.microsoft.com/office/drawing/2014/main" id="{926CEE78-83F5-43FB-8CF3-E58158055F3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4" name="דיו 533">
              <a:extLst>
                <a:ext uri="{FF2B5EF4-FFF2-40B4-BE49-F238E27FC236}">
                  <a16:creationId xmlns:a16="http://schemas.microsoft.com/office/drawing/2014/main" id="{285E0EC3-09B2-423A-B685-0FAE8709EE0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5" name="דיו 534">
              <a:extLst>
                <a:ext uri="{FF2B5EF4-FFF2-40B4-BE49-F238E27FC236}">
                  <a16:creationId xmlns:a16="http://schemas.microsoft.com/office/drawing/2014/main" id="{4DD2CCB3-5D41-4F76-ADB0-122A428747A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6" name="דיו 535">
              <a:extLst>
                <a:ext uri="{FF2B5EF4-FFF2-40B4-BE49-F238E27FC236}">
                  <a16:creationId xmlns:a16="http://schemas.microsoft.com/office/drawing/2014/main" id="{FAF02D7C-A3AC-4D0A-AC75-03AAC25F1F2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7" name="דיו 536">
              <a:extLst>
                <a:ext uri="{FF2B5EF4-FFF2-40B4-BE49-F238E27FC236}">
                  <a16:creationId xmlns:a16="http://schemas.microsoft.com/office/drawing/2014/main" id="{2AC1552B-A934-4D83-A725-BA8A154F17A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38" name="דיו 537">
              <a:extLst>
                <a:ext uri="{FF2B5EF4-FFF2-40B4-BE49-F238E27FC236}">
                  <a16:creationId xmlns:a16="http://schemas.microsoft.com/office/drawing/2014/main" id="{C3A34B37-1A0C-4CA2-AF4D-F1C169CCEC1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39" name="דיו 538">
              <a:extLst>
                <a:ext uri="{FF2B5EF4-FFF2-40B4-BE49-F238E27FC236}">
                  <a16:creationId xmlns:a16="http://schemas.microsoft.com/office/drawing/2014/main" id="{EC2839E8-1E62-4B07-BAFF-8BDA985A071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0" name="דיו 539">
              <a:extLst>
                <a:ext uri="{FF2B5EF4-FFF2-40B4-BE49-F238E27FC236}">
                  <a16:creationId xmlns:a16="http://schemas.microsoft.com/office/drawing/2014/main" id="{377DE76B-F066-4785-96CF-977905214C5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1" name="דיו 540">
              <a:extLst>
                <a:ext uri="{FF2B5EF4-FFF2-40B4-BE49-F238E27FC236}">
                  <a16:creationId xmlns:a16="http://schemas.microsoft.com/office/drawing/2014/main" id="{E1BF1274-9113-46C2-8A1D-4E7841E1326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2" name="דיו 541">
              <a:extLst>
                <a:ext uri="{FF2B5EF4-FFF2-40B4-BE49-F238E27FC236}">
                  <a16:creationId xmlns:a16="http://schemas.microsoft.com/office/drawing/2014/main" id="{4FDE2037-1BE1-4CFA-BA00-B0C18D39AD0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3" name="דיו 542">
              <a:extLst>
                <a:ext uri="{FF2B5EF4-FFF2-40B4-BE49-F238E27FC236}">
                  <a16:creationId xmlns:a16="http://schemas.microsoft.com/office/drawing/2014/main" id="{48BC536A-720A-4FE0-8C55-BD331196586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4" name="דיו 543">
              <a:extLst>
                <a:ext uri="{FF2B5EF4-FFF2-40B4-BE49-F238E27FC236}">
                  <a16:creationId xmlns:a16="http://schemas.microsoft.com/office/drawing/2014/main" id="{71574C36-9405-495F-B459-86E30D8A4E1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5" name="דיו 544">
              <a:extLst>
                <a:ext uri="{FF2B5EF4-FFF2-40B4-BE49-F238E27FC236}">
                  <a16:creationId xmlns:a16="http://schemas.microsoft.com/office/drawing/2014/main" id="{A9E1A590-A16F-4016-82DA-0D62A9B6403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6" name="דיו 545">
              <a:extLst>
                <a:ext uri="{FF2B5EF4-FFF2-40B4-BE49-F238E27FC236}">
                  <a16:creationId xmlns:a16="http://schemas.microsoft.com/office/drawing/2014/main" id="{5751B393-A520-4B82-B3AF-67F7D59CEDC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7" name="דיו 546">
              <a:extLst>
                <a:ext uri="{FF2B5EF4-FFF2-40B4-BE49-F238E27FC236}">
                  <a16:creationId xmlns:a16="http://schemas.microsoft.com/office/drawing/2014/main" id="{ACC26688-A477-4EE9-BD40-30F51E33B09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48" name="דיו 547">
              <a:extLst>
                <a:ext uri="{FF2B5EF4-FFF2-40B4-BE49-F238E27FC236}">
                  <a16:creationId xmlns:a16="http://schemas.microsoft.com/office/drawing/2014/main" id="{9B0C41A7-C098-455D-9773-52AA8D88130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49" name="דיו 548">
              <a:extLst>
                <a:ext uri="{FF2B5EF4-FFF2-40B4-BE49-F238E27FC236}">
                  <a16:creationId xmlns:a16="http://schemas.microsoft.com/office/drawing/2014/main" id="{2049B9ED-CBCB-4937-94C9-D9021574446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0" name="דיו 549">
              <a:extLst>
                <a:ext uri="{FF2B5EF4-FFF2-40B4-BE49-F238E27FC236}">
                  <a16:creationId xmlns:a16="http://schemas.microsoft.com/office/drawing/2014/main" id="{00E151A1-2954-4962-B22C-EC37A31F529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1" name="דיו 550">
              <a:extLst>
                <a:ext uri="{FF2B5EF4-FFF2-40B4-BE49-F238E27FC236}">
                  <a16:creationId xmlns:a16="http://schemas.microsoft.com/office/drawing/2014/main" id="{580760CA-C7F9-4C90-8329-02E0904BB03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2" name="דיו 551">
              <a:extLst>
                <a:ext uri="{FF2B5EF4-FFF2-40B4-BE49-F238E27FC236}">
                  <a16:creationId xmlns:a16="http://schemas.microsoft.com/office/drawing/2014/main" id="{D2E9EFEB-CBB3-4811-A92E-4004A6367D2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3" name="דיו 552">
              <a:extLst>
                <a:ext uri="{FF2B5EF4-FFF2-40B4-BE49-F238E27FC236}">
                  <a16:creationId xmlns:a16="http://schemas.microsoft.com/office/drawing/2014/main" id="{FE9F1D21-C13A-44A4-8466-8BF824580CB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29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4" name="דיו 553">
              <a:extLst>
                <a:ext uri="{FF2B5EF4-FFF2-40B4-BE49-F238E27FC236}">
                  <a16:creationId xmlns:a16="http://schemas.microsoft.com/office/drawing/2014/main" id="{08E69520-1EDD-4850-9241-D7A2816C2BC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5" name="דיו 554">
              <a:extLst>
                <a:ext uri="{FF2B5EF4-FFF2-40B4-BE49-F238E27FC236}">
                  <a16:creationId xmlns:a16="http://schemas.microsoft.com/office/drawing/2014/main" id="{049BBC4F-87E2-4BD1-B908-4BE12B6D829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6" name="דיו 555">
              <a:extLst>
                <a:ext uri="{FF2B5EF4-FFF2-40B4-BE49-F238E27FC236}">
                  <a16:creationId xmlns:a16="http://schemas.microsoft.com/office/drawing/2014/main" id="{33968202-1A6A-4900-B536-C7EC9520207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7" name="דיו 556">
              <a:extLst>
                <a:ext uri="{FF2B5EF4-FFF2-40B4-BE49-F238E27FC236}">
                  <a16:creationId xmlns:a16="http://schemas.microsoft.com/office/drawing/2014/main" id="{2BA3C7BD-7D63-45D4-88E1-268B72C76F0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58" name="דיו 557">
              <a:extLst>
                <a:ext uri="{FF2B5EF4-FFF2-40B4-BE49-F238E27FC236}">
                  <a16:creationId xmlns:a16="http://schemas.microsoft.com/office/drawing/2014/main" id="{26FA1319-B443-4871-91E5-06BC28094AB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59" name="דיו 558">
              <a:extLst>
                <a:ext uri="{FF2B5EF4-FFF2-40B4-BE49-F238E27FC236}">
                  <a16:creationId xmlns:a16="http://schemas.microsoft.com/office/drawing/2014/main" id="{8E33B57B-F9DD-481D-9B62-824FD5233BB6}"/>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0" name="דיו 559">
              <a:extLst>
                <a:ext uri="{FF2B5EF4-FFF2-40B4-BE49-F238E27FC236}">
                  <a16:creationId xmlns:a16="http://schemas.microsoft.com/office/drawing/2014/main" id="{3D4F97F8-13BD-4D22-8562-4EFC10A3D7D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1" name="דיו 560">
              <a:extLst>
                <a:ext uri="{FF2B5EF4-FFF2-40B4-BE49-F238E27FC236}">
                  <a16:creationId xmlns:a16="http://schemas.microsoft.com/office/drawing/2014/main" id="{724F2192-A423-4E97-BF71-BFFBE8338E4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2" name="דיו 561">
              <a:extLst>
                <a:ext uri="{FF2B5EF4-FFF2-40B4-BE49-F238E27FC236}">
                  <a16:creationId xmlns:a16="http://schemas.microsoft.com/office/drawing/2014/main" id="{E723C2C6-C927-463D-A987-0169BD9BDE9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3" name="דיו 562">
              <a:extLst>
                <a:ext uri="{FF2B5EF4-FFF2-40B4-BE49-F238E27FC236}">
                  <a16:creationId xmlns:a16="http://schemas.microsoft.com/office/drawing/2014/main" id="{E7FBC215-9B70-428C-AD24-E84FA685F06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4" name="דיו 563">
              <a:extLst>
                <a:ext uri="{FF2B5EF4-FFF2-40B4-BE49-F238E27FC236}">
                  <a16:creationId xmlns:a16="http://schemas.microsoft.com/office/drawing/2014/main" id="{D8E066C9-0163-4685-972A-6829698AF8C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5" name="דיו 564">
              <a:extLst>
                <a:ext uri="{FF2B5EF4-FFF2-40B4-BE49-F238E27FC236}">
                  <a16:creationId xmlns:a16="http://schemas.microsoft.com/office/drawing/2014/main" id="{18DB9C28-41A0-4958-BA7B-3EA23D78A9D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6" name="דיו 565">
              <a:extLst>
                <a:ext uri="{FF2B5EF4-FFF2-40B4-BE49-F238E27FC236}">
                  <a16:creationId xmlns:a16="http://schemas.microsoft.com/office/drawing/2014/main" id="{B3DB64ED-A1CD-4B64-8ECD-D1B43958405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7" name="דיו 566">
              <a:extLst>
                <a:ext uri="{FF2B5EF4-FFF2-40B4-BE49-F238E27FC236}">
                  <a16:creationId xmlns:a16="http://schemas.microsoft.com/office/drawing/2014/main" id="{31DDFDE7-7C9B-4C37-AACA-D2E4D4A6314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68" name="דיו 567">
              <a:extLst>
                <a:ext uri="{FF2B5EF4-FFF2-40B4-BE49-F238E27FC236}">
                  <a16:creationId xmlns:a16="http://schemas.microsoft.com/office/drawing/2014/main" id="{13B6410B-3CF3-4264-8F1E-8387ABD60E5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69" name="דיו 568">
              <a:extLst>
                <a:ext uri="{FF2B5EF4-FFF2-40B4-BE49-F238E27FC236}">
                  <a16:creationId xmlns:a16="http://schemas.microsoft.com/office/drawing/2014/main" id="{FF31174E-91A4-4F92-B001-245940314F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0" name="דיו 569">
              <a:extLst>
                <a:ext uri="{FF2B5EF4-FFF2-40B4-BE49-F238E27FC236}">
                  <a16:creationId xmlns:a16="http://schemas.microsoft.com/office/drawing/2014/main" id="{3427035F-9AC8-492D-BCFB-011C153FCCD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1" name="דיו 570">
              <a:extLst>
                <a:ext uri="{FF2B5EF4-FFF2-40B4-BE49-F238E27FC236}">
                  <a16:creationId xmlns:a16="http://schemas.microsoft.com/office/drawing/2014/main" id="{77F9CCC4-5304-4E61-AE1B-DA7C351BF3C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2" name="דיו 571">
              <a:extLst>
                <a:ext uri="{FF2B5EF4-FFF2-40B4-BE49-F238E27FC236}">
                  <a16:creationId xmlns:a16="http://schemas.microsoft.com/office/drawing/2014/main" id="{8AEBE802-21F8-4638-AD94-875C8A6955A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3" name="דיו 572">
              <a:extLst>
                <a:ext uri="{FF2B5EF4-FFF2-40B4-BE49-F238E27FC236}">
                  <a16:creationId xmlns:a16="http://schemas.microsoft.com/office/drawing/2014/main" id="{DE6CC069-EBB5-42E8-A650-ACBE2F4C651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4" name="דיו 573">
              <a:extLst>
                <a:ext uri="{FF2B5EF4-FFF2-40B4-BE49-F238E27FC236}">
                  <a16:creationId xmlns:a16="http://schemas.microsoft.com/office/drawing/2014/main" id="{906DC135-FBF4-49D6-A03D-4B1F293554F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5" name="דיו 574">
              <a:extLst>
                <a:ext uri="{FF2B5EF4-FFF2-40B4-BE49-F238E27FC236}">
                  <a16:creationId xmlns:a16="http://schemas.microsoft.com/office/drawing/2014/main" id="{AFF0C39F-C491-4511-93DB-71C7CD21740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6" name="דיו 575">
              <a:extLst>
                <a:ext uri="{FF2B5EF4-FFF2-40B4-BE49-F238E27FC236}">
                  <a16:creationId xmlns:a16="http://schemas.microsoft.com/office/drawing/2014/main" id="{3ECB4AE4-EB94-424C-B30F-4C094FC6B2C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7" name="דיו 576">
              <a:extLst>
                <a:ext uri="{FF2B5EF4-FFF2-40B4-BE49-F238E27FC236}">
                  <a16:creationId xmlns:a16="http://schemas.microsoft.com/office/drawing/2014/main" id="{F84CB10E-B320-4BFE-B012-99DE1F6A1CA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78" name="דיו 577">
              <a:extLst>
                <a:ext uri="{FF2B5EF4-FFF2-40B4-BE49-F238E27FC236}">
                  <a16:creationId xmlns:a16="http://schemas.microsoft.com/office/drawing/2014/main" id="{7DFC6EC5-4F2B-4DE9-9BA0-9D1BA0A7EAD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79" name="דיו 578">
              <a:extLst>
                <a:ext uri="{FF2B5EF4-FFF2-40B4-BE49-F238E27FC236}">
                  <a16:creationId xmlns:a16="http://schemas.microsoft.com/office/drawing/2014/main" id="{AC944A6C-B7D2-418C-A349-0C70AB7761D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0" name="דיו 579">
              <a:extLst>
                <a:ext uri="{FF2B5EF4-FFF2-40B4-BE49-F238E27FC236}">
                  <a16:creationId xmlns:a16="http://schemas.microsoft.com/office/drawing/2014/main" id="{28E38628-E67C-4472-80DE-9472743E6AA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1" name="דיו 580">
              <a:extLst>
                <a:ext uri="{FF2B5EF4-FFF2-40B4-BE49-F238E27FC236}">
                  <a16:creationId xmlns:a16="http://schemas.microsoft.com/office/drawing/2014/main" id="{AE542405-FDBA-4C7E-A649-F7D9E56B54B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2" name="דיו 581">
              <a:extLst>
                <a:ext uri="{FF2B5EF4-FFF2-40B4-BE49-F238E27FC236}">
                  <a16:creationId xmlns:a16="http://schemas.microsoft.com/office/drawing/2014/main" id="{401B36B4-515E-463E-BB8D-37EEF3061D8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3" name="דיו 582">
              <a:extLst>
                <a:ext uri="{FF2B5EF4-FFF2-40B4-BE49-F238E27FC236}">
                  <a16:creationId xmlns:a16="http://schemas.microsoft.com/office/drawing/2014/main" id="{99A068F5-1B59-423A-8B7F-5B1991B6F1E1}"/>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4" name="דיו 583">
              <a:extLst>
                <a:ext uri="{FF2B5EF4-FFF2-40B4-BE49-F238E27FC236}">
                  <a16:creationId xmlns:a16="http://schemas.microsoft.com/office/drawing/2014/main" id="{F0ABE9D1-46B6-4E7D-8F25-90EFC8285B3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5" name="דיו 584">
              <a:extLst>
                <a:ext uri="{FF2B5EF4-FFF2-40B4-BE49-F238E27FC236}">
                  <a16:creationId xmlns:a16="http://schemas.microsoft.com/office/drawing/2014/main" id="{CED16DE8-64E6-464B-8CF4-8B5039E7687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6" name="דיו 585">
              <a:extLst>
                <a:ext uri="{FF2B5EF4-FFF2-40B4-BE49-F238E27FC236}">
                  <a16:creationId xmlns:a16="http://schemas.microsoft.com/office/drawing/2014/main" id="{E221337F-47B6-4869-B4E0-32D65312B2F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7" name="דיו 586">
              <a:extLst>
                <a:ext uri="{FF2B5EF4-FFF2-40B4-BE49-F238E27FC236}">
                  <a16:creationId xmlns:a16="http://schemas.microsoft.com/office/drawing/2014/main" id="{4D70F750-5C21-4245-BE4E-B22192526C4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88" name="דיו 587">
              <a:extLst>
                <a:ext uri="{FF2B5EF4-FFF2-40B4-BE49-F238E27FC236}">
                  <a16:creationId xmlns:a16="http://schemas.microsoft.com/office/drawing/2014/main" id="{AC0439BF-1FD7-48D1-AEC3-0902D921B93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89" name="דיו 588">
              <a:extLst>
                <a:ext uri="{FF2B5EF4-FFF2-40B4-BE49-F238E27FC236}">
                  <a16:creationId xmlns:a16="http://schemas.microsoft.com/office/drawing/2014/main" id="{5DB95457-D8F1-493F-9D8C-E9756540D8AC}"/>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0" name="דיו 589">
              <a:extLst>
                <a:ext uri="{FF2B5EF4-FFF2-40B4-BE49-F238E27FC236}">
                  <a16:creationId xmlns:a16="http://schemas.microsoft.com/office/drawing/2014/main" id="{BA6A2920-85AD-45B7-8325-891B11311A55}"/>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1" name="דיו 590">
              <a:extLst>
                <a:ext uri="{FF2B5EF4-FFF2-40B4-BE49-F238E27FC236}">
                  <a16:creationId xmlns:a16="http://schemas.microsoft.com/office/drawing/2014/main" id="{38B039D7-59A2-4301-A064-1C69DF19985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2" name="דיו 591">
              <a:extLst>
                <a:ext uri="{FF2B5EF4-FFF2-40B4-BE49-F238E27FC236}">
                  <a16:creationId xmlns:a16="http://schemas.microsoft.com/office/drawing/2014/main" id="{A773ACF4-9AC4-4F0C-8F32-E93A4592133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3" name="דיו 592">
              <a:extLst>
                <a:ext uri="{FF2B5EF4-FFF2-40B4-BE49-F238E27FC236}">
                  <a16:creationId xmlns:a16="http://schemas.microsoft.com/office/drawing/2014/main" id="{BDBCBE87-3479-4B22-A720-FA262E537F8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4" name="דיו 593">
              <a:extLst>
                <a:ext uri="{FF2B5EF4-FFF2-40B4-BE49-F238E27FC236}">
                  <a16:creationId xmlns:a16="http://schemas.microsoft.com/office/drawing/2014/main" id="{950D4AB4-B3BF-4226-9E1B-E8B084F6067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5" name="דיו 594">
              <a:extLst>
                <a:ext uri="{FF2B5EF4-FFF2-40B4-BE49-F238E27FC236}">
                  <a16:creationId xmlns:a16="http://schemas.microsoft.com/office/drawing/2014/main" id="{C0F87D36-456F-48A8-AE09-30906F9F335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6" name="דיו 595">
              <a:extLst>
                <a:ext uri="{FF2B5EF4-FFF2-40B4-BE49-F238E27FC236}">
                  <a16:creationId xmlns:a16="http://schemas.microsoft.com/office/drawing/2014/main" id="{AB32C345-D2DF-47E4-AF8F-05FF5C987C6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7" name="דיו 596">
              <a:extLst>
                <a:ext uri="{FF2B5EF4-FFF2-40B4-BE49-F238E27FC236}">
                  <a16:creationId xmlns:a16="http://schemas.microsoft.com/office/drawing/2014/main" id="{C7CE2DDE-3BFB-4021-883F-845D16F30F6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598" name="דיו 597">
              <a:extLst>
                <a:ext uri="{FF2B5EF4-FFF2-40B4-BE49-F238E27FC236}">
                  <a16:creationId xmlns:a16="http://schemas.microsoft.com/office/drawing/2014/main" id="{84E0CF84-A1E3-4FBA-A0BB-AF0798CF818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38</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599" name="דיו 598">
              <a:extLst>
                <a:ext uri="{FF2B5EF4-FFF2-40B4-BE49-F238E27FC236}">
                  <a16:creationId xmlns:a16="http://schemas.microsoft.com/office/drawing/2014/main" id="{F3B9DF86-459F-4839-9535-3E12F70F4663}"/>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39</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0" name="דיו 599">
              <a:extLst>
                <a:ext uri="{FF2B5EF4-FFF2-40B4-BE49-F238E27FC236}">
                  <a16:creationId xmlns:a16="http://schemas.microsoft.com/office/drawing/2014/main" id="{C6101DA9-AF2B-4068-BEBC-6B0ED56CF11F}"/>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1" name="דיו 600">
              <a:extLst>
                <a:ext uri="{FF2B5EF4-FFF2-40B4-BE49-F238E27FC236}">
                  <a16:creationId xmlns:a16="http://schemas.microsoft.com/office/drawing/2014/main" id="{0854F094-0409-44AE-B6F7-D2A38CA8E7AD}"/>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40</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2" name="דיו 601">
              <a:extLst>
                <a:ext uri="{FF2B5EF4-FFF2-40B4-BE49-F238E27FC236}">
                  <a16:creationId xmlns:a16="http://schemas.microsoft.com/office/drawing/2014/main" id="{DE25B9E2-5949-456B-A5B4-CB95774ACFCE}"/>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3" name="דיו 602">
              <a:extLst>
                <a:ext uri="{FF2B5EF4-FFF2-40B4-BE49-F238E27FC236}">
                  <a16:creationId xmlns:a16="http://schemas.microsoft.com/office/drawing/2014/main" id="{CED8159C-EDAA-44E9-B8E7-ACEE93B37522}"/>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4" name="דיו 603">
              <a:extLst>
                <a:ext uri="{FF2B5EF4-FFF2-40B4-BE49-F238E27FC236}">
                  <a16:creationId xmlns:a16="http://schemas.microsoft.com/office/drawing/2014/main" id="{2E512D3B-3EF1-4E30-9BEB-155911EE47D8}"/>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5" name="דיו 604">
              <a:extLst>
                <a:ext uri="{FF2B5EF4-FFF2-40B4-BE49-F238E27FC236}">
                  <a16:creationId xmlns:a16="http://schemas.microsoft.com/office/drawing/2014/main" id="{14A75A90-BC21-4BE8-B994-883568A49C89}"/>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41</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6" name="דיו 605">
              <a:extLst>
                <a:ext uri="{FF2B5EF4-FFF2-40B4-BE49-F238E27FC236}">
                  <a16:creationId xmlns:a16="http://schemas.microsoft.com/office/drawing/2014/main" id="{8B3D1E17-63CD-41BB-BE2D-BCF0A5465C2B}"/>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42</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7" name="דיו 606">
              <a:extLst>
                <a:ext uri="{FF2B5EF4-FFF2-40B4-BE49-F238E27FC236}">
                  <a16:creationId xmlns:a16="http://schemas.microsoft.com/office/drawing/2014/main" id="{077D72B0-3A91-414A-9CEC-69DF0A9497D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43</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08" name="דיו 607">
              <a:extLst>
                <a:ext uri="{FF2B5EF4-FFF2-40B4-BE49-F238E27FC236}">
                  <a16:creationId xmlns:a16="http://schemas.microsoft.com/office/drawing/2014/main" id="{9898CC22-B5EB-4CEB-A6C6-745A0522A9E4}"/>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09" name="דיו 608">
              <a:extLst>
                <a:ext uri="{FF2B5EF4-FFF2-40B4-BE49-F238E27FC236}">
                  <a16:creationId xmlns:a16="http://schemas.microsoft.com/office/drawing/2014/main" id="{81DECE8C-DCCB-4E36-9EF7-53AB62DC8440}"/>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44</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0" name="דיו 609">
              <a:extLst>
                <a:ext uri="{FF2B5EF4-FFF2-40B4-BE49-F238E27FC236}">
                  <a16:creationId xmlns:a16="http://schemas.microsoft.com/office/drawing/2014/main" id="{D9D044EA-6286-4824-B07C-A1FD6A04457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45</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1" name="דיו 610">
              <a:extLst>
                <a:ext uri="{FF2B5EF4-FFF2-40B4-BE49-F238E27FC236}">
                  <a16:creationId xmlns:a16="http://schemas.microsoft.com/office/drawing/2014/main" id="{DCB1BBF3-261B-426A-8BC8-1192271B078A}"/>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46</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2" name="דיו 611">
              <a:extLst>
                <a:ext uri="{FF2B5EF4-FFF2-40B4-BE49-F238E27FC236}">
                  <a16:creationId xmlns:a16="http://schemas.microsoft.com/office/drawing/2014/main" id="{2EDFA310-0510-4D71-A2DB-612B7156F75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1</xdr:col>
      <xdr:colOff>360</xdr:colOff>
      <xdr:row>47</xdr:row>
      <xdr:rowOff>45480</xdr:rowOff>
    </xdr:from>
    <xdr:ext cx="0" cy="36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3" name="דיו 612">
              <a:extLst>
                <a:ext uri="{FF2B5EF4-FFF2-40B4-BE49-F238E27FC236}">
                  <a16:creationId xmlns:a16="http://schemas.microsoft.com/office/drawing/2014/main" id="{A0DBF85C-2527-4F90-83F5-0C89641F8AE7}"/>
                </a:ext>
              </a:extLst>
            </xdr14:cNvPr>
            <xdr14:cNvContentPartPr/>
          </xdr14:nvContentPartPr>
          <xdr14:nvPr macro=""/>
          <xdr14:xfrm>
            <a:off x="10860778200" y="853200"/>
            <a:ext cx="360" cy="360"/>
          </xdr14:xfrm>
        </xdr:contentPart>
      </mc:Choice>
      <mc:Fallback xmlns="">
        <xdr:pic>
          <xdr:nvPicPr>
            <xdr:cNvPr id="6" name="דיו 5">
              <a:extLst>
                <a:ext uri="{FF2B5EF4-FFF2-40B4-BE49-F238E27FC236}">
                  <a16:creationId xmlns:a16="http://schemas.microsoft.com/office/drawing/2014/main" id="{ADB51FC0-E71D-028A-FFFF-93C9D10C9B37}"/>
                </a:ext>
              </a:extLst>
            </xdr:cNvPr>
            <xdr:cNvPicPr/>
          </xdr:nvPicPr>
          <xdr:blipFill>
            <a:blip xmlns:r="http://schemas.openxmlformats.org/officeDocument/2006/relationships" r:embed="rId5"/>
            <a:stretch>
              <a:fillRect/>
            </a:stretch>
          </xdr:blipFill>
          <xdr:spPr>
            <a:xfrm>
              <a:off x="10860769200" y="844200"/>
              <a:ext cx="18000" cy="18000"/>
            </a:xfrm>
            <a:prstGeom prst="rect">
              <a:avLst/>
            </a:prstGeom>
          </xdr:spPr>
        </xdr:pic>
      </mc:Fallback>
    </mc:AlternateContent>
    <xdr:clientData/>
  </xdr:oneCellAnchor>
  <xdr:oneCellAnchor>
    <xdr:from>
      <xdr:col>9</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4" name="דיו 613">
              <a:extLst>
                <a:ext uri="{FF2B5EF4-FFF2-40B4-BE49-F238E27FC236}">
                  <a16:creationId xmlns:a16="http://schemas.microsoft.com/office/drawing/2014/main" id="{8458C068-2285-48A3-BACF-D5819B9F3F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5" name="דיו 614">
              <a:extLst>
                <a:ext uri="{FF2B5EF4-FFF2-40B4-BE49-F238E27FC236}">
                  <a16:creationId xmlns:a16="http://schemas.microsoft.com/office/drawing/2014/main" id="{1779B53C-220A-4523-A5C4-39916FE2F51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6" name="דיו 615">
              <a:extLst>
                <a:ext uri="{FF2B5EF4-FFF2-40B4-BE49-F238E27FC236}">
                  <a16:creationId xmlns:a16="http://schemas.microsoft.com/office/drawing/2014/main" id="{9B492A75-CAE4-4EF3-BE98-DEFE73F5FBF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7" name="דיו 616">
              <a:extLst>
                <a:ext uri="{FF2B5EF4-FFF2-40B4-BE49-F238E27FC236}">
                  <a16:creationId xmlns:a16="http://schemas.microsoft.com/office/drawing/2014/main" id="{4664BF40-4508-4002-8F63-ACC23C6A65B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18" name="דיו 617">
              <a:extLst>
                <a:ext uri="{FF2B5EF4-FFF2-40B4-BE49-F238E27FC236}">
                  <a16:creationId xmlns:a16="http://schemas.microsoft.com/office/drawing/2014/main" id="{A2B62007-CB35-4BFC-8F20-379D949ADF3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19" name="דיו 618">
              <a:extLst>
                <a:ext uri="{FF2B5EF4-FFF2-40B4-BE49-F238E27FC236}">
                  <a16:creationId xmlns:a16="http://schemas.microsoft.com/office/drawing/2014/main" id="{D7426949-CE58-4EF7-9EC2-D9597FCF560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0" name="דיו 619">
              <a:extLst>
                <a:ext uri="{FF2B5EF4-FFF2-40B4-BE49-F238E27FC236}">
                  <a16:creationId xmlns:a16="http://schemas.microsoft.com/office/drawing/2014/main" id="{1D0A6B12-4707-4A10-8A3C-E51C18F3301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1" name="דיו 620">
              <a:extLst>
                <a:ext uri="{FF2B5EF4-FFF2-40B4-BE49-F238E27FC236}">
                  <a16:creationId xmlns:a16="http://schemas.microsoft.com/office/drawing/2014/main" id="{9BC1DBA7-BC8C-4B02-B362-8387BE86ED1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2" name="דיו 621">
              <a:extLst>
                <a:ext uri="{FF2B5EF4-FFF2-40B4-BE49-F238E27FC236}">
                  <a16:creationId xmlns:a16="http://schemas.microsoft.com/office/drawing/2014/main" id="{8FD9FDBB-EFE6-4BF6-A432-81C3E0088B9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3" name="דיו 622">
              <a:extLst>
                <a:ext uri="{FF2B5EF4-FFF2-40B4-BE49-F238E27FC236}">
                  <a16:creationId xmlns:a16="http://schemas.microsoft.com/office/drawing/2014/main" id="{C694B92C-F2C1-4B38-BE54-61D66B07636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4" name="דיו 623">
              <a:extLst>
                <a:ext uri="{FF2B5EF4-FFF2-40B4-BE49-F238E27FC236}">
                  <a16:creationId xmlns:a16="http://schemas.microsoft.com/office/drawing/2014/main" id="{EAA76F30-D775-4FDA-A5BF-E923A33C29E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5" name="דיו 624">
              <a:extLst>
                <a:ext uri="{FF2B5EF4-FFF2-40B4-BE49-F238E27FC236}">
                  <a16:creationId xmlns:a16="http://schemas.microsoft.com/office/drawing/2014/main" id="{42E05E0C-C952-4C5C-8478-557B6FF553C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6" name="דיו 625">
              <a:extLst>
                <a:ext uri="{FF2B5EF4-FFF2-40B4-BE49-F238E27FC236}">
                  <a16:creationId xmlns:a16="http://schemas.microsoft.com/office/drawing/2014/main" id="{BA25FC37-3A70-4318-9C09-34F3B1B04CA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7" name="דיו 626">
              <a:extLst>
                <a:ext uri="{FF2B5EF4-FFF2-40B4-BE49-F238E27FC236}">
                  <a16:creationId xmlns:a16="http://schemas.microsoft.com/office/drawing/2014/main" id="{125BFF05-822A-41E2-9A19-A4D78569CA8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28" name="דיו 627">
              <a:extLst>
                <a:ext uri="{FF2B5EF4-FFF2-40B4-BE49-F238E27FC236}">
                  <a16:creationId xmlns:a16="http://schemas.microsoft.com/office/drawing/2014/main" id="{ABC3E26D-7351-450B-95F7-5635CD4B2A1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29" name="דיו 628">
              <a:extLst>
                <a:ext uri="{FF2B5EF4-FFF2-40B4-BE49-F238E27FC236}">
                  <a16:creationId xmlns:a16="http://schemas.microsoft.com/office/drawing/2014/main" id="{71C15C2B-8078-4714-BEE6-B655FDF5DED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0" name="דיו 629">
              <a:extLst>
                <a:ext uri="{FF2B5EF4-FFF2-40B4-BE49-F238E27FC236}">
                  <a16:creationId xmlns:a16="http://schemas.microsoft.com/office/drawing/2014/main" id="{C6AC76C1-4B41-4EEF-9A43-4E62492022A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1" name="דיו 630">
              <a:extLst>
                <a:ext uri="{FF2B5EF4-FFF2-40B4-BE49-F238E27FC236}">
                  <a16:creationId xmlns:a16="http://schemas.microsoft.com/office/drawing/2014/main" id="{22927285-AD0C-4B79-99C2-819FACEE5D3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2" name="דיו 631">
              <a:extLst>
                <a:ext uri="{FF2B5EF4-FFF2-40B4-BE49-F238E27FC236}">
                  <a16:creationId xmlns:a16="http://schemas.microsoft.com/office/drawing/2014/main" id="{FA5768A8-8083-489C-94F8-B3FB537C4CD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3" name="דיו 632">
              <a:extLst>
                <a:ext uri="{FF2B5EF4-FFF2-40B4-BE49-F238E27FC236}">
                  <a16:creationId xmlns:a16="http://schemas.microsoft.com/office/drawing/2014/main" id="{3DC7291E-E810-4C4C-9AC5-B7621133233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4" name="דיו 633">
              <a:extLst>
                <a:ext uri="{FF2B5EF4-FFF2-40B4-BE49-F238E27FC236}">
                  <a16:creationId xmlns:a16="http://schemas.microsoft.com/office/drawing/2014/main" id="{6890AE9D-2001-45A6-8D5A-D007E9B77A0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5" name="דיו 634">
              <a:extLst>
                <a:ext uri="{FF2B5EF4-FFF2-40B4-BE49-F238E27FC236}">
                  <a16:creationId xmlns:a16="http://schemas.microsoft.com/office/drawing/2014/main" id="{FC4D3FAC-A7C4-4EFA-9DEF-401ED8C6CB7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6" name="דיו 635">
              <a:extLst>
                <a:ext uri="{FF2B5EF4-FFF2-40B4-BE49-F238E27FC236}">
                  <a16:creationId xmlns:a16="http://schemas.microsoft.com/office/drawing/2014/main" id="{BFFAD584-B258-45F2-A78A-40A2E1E0E4C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7" name="דיו 636">
              <a:extLst>
                <a:ext uri="{FF2B5EF4-FFF2-40B4-BE49-F238E27FC236}">
                  <a16:creationId xmlns:a16="http://schemas.microsoft.com/office/drawing/2014/main" id="{0B3802EC-B333-4936-A95D-3957985478B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38" name="דיו 637">
              <a:extLst>
                <a:ext uri="{FF2B5EF4-FFF2-40B4-BE49-F238E27FC236}">
                  <a16:creationId xmlns:a16="http://schemas.microsoft.com/office/drawing/2014/main" id="{26BE2863-CBCF-4514-B05C-AA7877E09A7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39" name="דיו 638">
              <a:extLst>
                <a:ext uri="{FF2B5EF4-FFF2-40B4-BE49-F238E27FC236}">
                  <a16:creationId xmlns:a16="http://schemas.microsoft.com/office/drawing/2014/main" id="{2A24D0D1-6C4A-4CD4-AD5F-7A7E190ED0A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0" name="דיו 639">
              <a:extLst>
                <a:ext uri="{FF2B5EF4-FFF2-40B4-BE49-F238E27FC236}">
                  <a16:creationId xmlns:a16="http://schemas.microsoft.com/office/drawing/2014/main" id="{9F610C23-05BB-4870-B5A7-D298FD8C4B9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1" name="דיו 640">
              <a:extLst>
                <a:ext uri="{FF2B5EF4-FFF2-40B4-BE49-F238E27FC236}">
                  <a16:creationId xmlns:a16="http://schemas.microsoft.com/office/drawing/2014/main" id="{1C5A47A3-B7B8-4B00-98B9-82CA6EA3E12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2" name="דיו 641">
              <a:extLst>
                <a:ext uri="{FF2B5EF4-FFF2-40B4-BE49-F238E27FC236}">
                  <a16:creationId xmlns:a16="http://schemas.microsoft.com/office/drawing/2014/main" id="{B64B5F98-8007-4E8F-952D-0E0171E44ED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3" name="דיו 642">
              <a:extLst>
                <a:ext uri="{FF2B5EF4-FFF2-40B4-BE49-F238E27FC236}">
                  <a16:creationId xmlns:a16="http://schemas.microsoft.com/office/drawing/2014/main" id="{BB41D494-6933-4E06-BFA9-C2945BED593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4" name="דיו 643">
              <a:extLst>
                <a:ext uri="{FF2B5EF4-FFF2-40B4-BE49-F238E27FC236}">
                  <a16:creationId xmlns:a16="http://schemas.microsoft.com/office/drawing/2014/main" id="{D0B71E2A-C15F-4606-8424-A72220A17C7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5" name="דיו 644">
              <a:extLst>
                <a:ext uri="{FF2B5EF4-FFF2-40B4-BE49-F238E27FC236}">
                  <a16:creationId xmlns:a16="http://schemas.microsoft.com/office/drawing/2014/main" id="{03A0D574-2B95-4680-A666-463A7CEDB87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6" name="דיו 645">
              <a:extLst>
                <a:ext uri="{FF2B5EF4-FFF2-40B4-BE49-F238E27FC236}">
                  <a16:creationId xmlns:a16="http://schemas.microsoft.com/office/drawing/2014/main" id="{1A79DB63-A8C8-4E4A-B089-604E5929C68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7" name="דיו 646">
              <a:extLst>
                <a:ext uri="{FF2B5EF4-FFF2-40B4-BE49-F238E27FC236}">
                  <a16:creationId xmlns:a16="http://schemas.microsoft.com/office/drawing/2014/main" id="{88FACDDD-50B1-4271-9430-B38F7BAEB47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48" name="דיו 647">
              <a:extLst>
                <a:ext uri="{FF2B5EF4-FFF2-40B4-BE49-F238E27FC236}">
                  <a16:creationId xmlns:a16="http://schemas.microsoft.com/office/drawing/2014/main" id="{E06EB7E8-0026-4CD4-A716-E65F1BD0592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49" name="דיו 648">
              <a:extLst>
                <a:ext uri="{FF2B5EF4-FFF2-40B4-BE49-F238E27FC236}">
                  <a16:creationId xmlns:a16="http://schemas.microsoft.com/office/drawing/2014/main" id="{24D3F93D-34D3-4F2C-88A5-DC90D289B39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0" name="דיו 649">
              <a:extLst>
                <a:ext uri="{FF2B5EF4-FFF2-40B4-BE49-F238E27FC236}">
                  <a16:creationId xmlns:a16="http://schemas.microsoft.com/office/drawing/2014/main" id="{B3A27678-B371-4BA0-8244-ECE6294D246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1" name="דיו 650">
              <a:extLst>
                <a:ext uri="{FF2B5EF4-FFF2-40B4-BE49-F238E27FC236}">
                  <a16:creationId xmlns:a16="http://schemas.microsoft.com/office/drawing/2014/main" id="{06278C9C-709A-4771-B661-FA8D21E023D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2" name="דיו 651">
              <a:extLst>
                <a:ext uri="{FF2B5EF4-FFF2-40B4-BE49-F238E27FC236}">
                  <a16:creationId xmlns:a16="http://schemas.microsoft.com/office/drawing/2014/main" id="{6EE5FF6F-A1BB-4D36-9E7E-924336F5DE9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3" name="דיו 652">
              <a:extLst>
                <a:ext uri="{FF2B5EF4-FFF2-40B4-BE49-F238E27FC236}">
                  <a16:creationId xmlns:a16="http://schemas.microsoft.com/office/drawing/2014/main" id="{F82E0C61-4CC5-482B-BAD9-8D1B458214B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4" name="דיו 653">
              <a:extLst>
                <a:ext uri="{FF2B5EF4-FFF2-40B4-BE49-F238E27FC236}">
                  <a16:creationId xmlns:a16="http://schemas.microsoft.com/office/drawing/2014/main" id="{59220E83-10C7-40FE-B4D8-F243007CC86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5" name="דיו 654">
              <a:extLst>
                <a:ext uri="{FF2B5EF4-FFF2-40B4-BE49-F238E27FC236}">
                  <a16:creationId xmlns:a16="http://schemas.microsoft.com/office/drawing/2014/main" id="{00D32B8A-43A8-463E-A54E-7FBBFA0B440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6" name="דיו 655">
              <a:extLst>
                <a:ext uri="{FF2B5EF4-FFF2-40B4-BE49-F238E27FC236}">
                  <a16:creationId xmlns:a16="http://schemas.microsoft.com/office/drawing/2014/main" id="{E96371E1-9C86-4211-BC73-AE20287E429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7" name="דיו 656">
              <a:extLst>
                <a:ext uri="{FF2B5EF4-FFF2-40B4-BE49-F238E27FC236}">
                  <a16:creationId xmlns:a16="http://schemas.microsoft.com/office/drawing/2014/main" id="{9EF9A896-22DD-4759-B5BD-E6408D42055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58" name="דיו 657">
              <a:extLst>
                <a:ext uri="{FF2B5EF4-FFF2-40B4-BE49-F238E27FC236}">
                  <a16:creationId xmlns:a16="http://schemas.microsoft.com/office/drawing/2014/main" id="{9423EC85-1ED3-40F8-97F2-0EC4657C0E0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59" name="דיו 658">
              <a:extLst>
                <a:ext uri="{FF2B5EF4-FFF2-40B4-BE49-F238E27FC236}">
                  <a16:creationId xmlns:a16="http://schemas.microsoft.com/office/drawing/2014/main" id="{ABFED0AB-657D-4148-B345-1341855B2D9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0" name="דיו 659">
              <a:extLst>
                <a:ext uri="{FF2B5EF4-FFF2-40B4-BE49-F238E27FC236}">
                  <a16:creationId xmlns:a16="http://schemas.microsoft.com/office/drawing/2014/main" id="{2D06A91B-7DBE-4476-9707-76CB6ED01F6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1" name="דיו 660">
              <a:extLst>
                <a:ext uri="{FF2B5EF4-FFF2-40B4-BE49-F238E27FC236}">
                  <a16:creationId xmlns:a16="http://schemas.microsoft.com/office/drawing/2014/main" id="{9B442050-4458-403E-99C9-38EA43165AD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2" name="דיו 661">
              <a:extLst>
                <a:ext uri="{FF2B5EF4-FFF2-40B4-BE49-F238E27FC236}">
                  <a16:creationId xmlns:a16="http://schemas.microsoft.com/office/drawing/2014/main" id="{12796659-F18B-47AF-87DE-B143E926350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3" name="דיו 662">
              <a:extLst>
                <a:ext uri="{FF2B5EF4-FFF2-40B4-BE49-F238E27FC236}">
                  <a16:creationId xmlns:a16="http://schemas.microsoft.com/office/drawing/2014/main" id="{74AAC10E-C0AE-444D-9D57-5F0CAC5173E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4" name="דיו 663">
              <a:extLst>
                <a:ext uri="{FF2B5EF4-FFF2-40B4-BE49-F238E27FC236}">
                  <a16:creationId xmlns:a16="http://schemas.microsoft.com/office/drawing/2014/main" id="{A218BBEA-AFF4-444C-BA0C-517B7BBFB49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5" name="דיו 664">
              <a:extLst>
                <a:ext uri="{FF2B5EF4-FFF2-40B4-BE49-F238E27FC236}">
                  <a16:creationId xmlns:a16="http://schemas.microsoft.com/office/drawing/2014/main" id="{A360E609-B63C-42A8-89C8-01C5E975817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6" name="דיו 665">
              <a:extLst>
                <a:ext uri="{FF2B5EF4-FFF2-40B4-BE49-F238E27FC236}">
                  <a16:creationId xmlns:a16="http://schemas.microsoft.com/office/drawing/2014/main" id="{92665C17-82E1-4730-8998-0B543C60A31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7" name="דיו 666">
              <a:extLst>
                <a:ext uri="{FF2B5EF4-FFF2-40B4-BE49-F238E27FC236}">
                  <a16:creationId xmlns:a16="http://schemas.microsoft.com/office/drawing/2014/main" id="{5F514D7A-6DC6-426C-A112-93B0BF67DD6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68" name="דיו 667">
              <a:extLst>
                <a:ext uri="{FF2B5EF4-FFF2-40B4-BE49-F238E27FC236}">
                  <a16:creationId xmlns:a16="http://schemas.microsoft.com/office/drawing/2014/main" id="{BCC05BC9-3836-4A24-9F90-50E5CA76CEC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69" name="דיו 668">
              <a:extLst>
                <a:ext uri="{FF2B5EF4-FFF2-40B4-BE49-F238E27FC236}">
                  <a16:creationId xmlns:a16="http://schemas.microsoft.com/office/drawing/2014/main" id="{59780BB2-039C-4D58-8D2B-EE27269246B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0" name="דיו 669">
              <a:extLst>
                <a:ext uri="{FF2B5EF4-FFF2-40B4-BE49-F238E27FC236}">
                  <a16:creationId xmlns:a16="http://schemas.microsoft.com/office/drawing/2014/main" id="{6D02B7F8-BC6C-48B9-A8DB-3DB07E255B4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1" name="דיו 670">
              <a:extLst>
                <a:ext uri="{FF2B5EF4-FFF2-40B4-BE49-F238E27FC236}">
                  <a16:creationId xmlns:a16="http://schemas.microsoft.com/office/drawing/2014/main" id="{B8F0C4C6-E5BA-46B4-B14F-25E0F867381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2" name="דיו 671">
              <a:extLst>
                <a:ext uri="{FF2B5EF4-FFF2-40B4-BE49-F238E27FC236}">
                  <a16:creationId xmlns:a16="http://schemas.microsoft.com/office/drawing/2014/main" id="{3C581C85-C918-4E87-A0E7-CAA6E3EF4D6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3" name="דיו 672">
              <a:extLst>
                <a:ext uri="{FF2B5EF4-FFF2-40B4-BE49-F238E27FC236}">
                  <a16:creationId xmlns:a16="http://schemas.microsoft.com/office/drawing/2014/main" id="{DD2945FB-A1C1-462F-8A0F-8B8A63559EF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4" name="דיו 673">
              <a:extLst>
                <a:ext uri="{FF2B5EF4-FFF2-40B4-BE49-F238E27FC236}">
                  <a16:creationId xmlns:a16="http://schemas.microsoft.com/office/drawing/2014/main" id="{BD64E597-2604-4576-B4AF-AA88ADB59E7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5" name="דיו 674">
              <a:extLst>
                <a:ext uri="{FF2B5EF4-FFF2-40B4-BE49-F238E27FC236}">
                  <a16:creationId xmlns:a16="http://schemas.microsoft.com/office/drawing/2014/main" id="{2772E4FF-0FFC-4EB4-9F78-6838970B602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6" name="דיו 675">
              <a:extLst>
                <a:ext uri="{FF2B5EF4-FFF2-40B4-BE49-F238E27FC236}">
                  <a16:creationId xmlns:a16="http://schemas.microsoft.com/office/drawing/2014/main" id="{7C3210B0-F722-4E95-A1CC-F2F98AFC5E4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7" name="דיו 676">
              <a:extLst>
                <a:ext uri="{FF2B5EF4-FFF2-40B4-BE49-F238E27FC236}">
                  <a16:creationId xmlns:a16="http://schemas.microsoft.com/office/drawing/2014/main" id="{4755989D-FF58-4B7B-ADC0-B11FD65B276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78" name="דיו 677">
              <a:extLst>
                <a:ext uri="{FF2B5EF4-FFF2-40B4-BE49-F238E27FC236}">
                  <a16:creationId xmlns:a16="http://schemas.microsoft.com/office/drawing/2014/main" id="{6FB9BA40-7A5C-4767-987C-23DD53894F5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79" name="דיו 678">
              <a:extLst>
                <a:ext uri="{FF2B5EF4-FFF2-40B4-BE49-F238E27FC236}">
                  <a16:creationId xmlns:a16="http://schemas.microsoft.com/office/drawing/2014/main" id="{5D6103CC-B4A4-4ED1-8568-77876DA954D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0" name="דיו 679">
              <a:extLst>
                <a:ext uri="{FF2B5EF4-FFF2-40B4-BE49-F238E27FC236}">
                  <a16:creationId xmlns:a16="http://schemas.microsoft.com/office/drawing/2014/main" id="{41C2F5A6-C83F-4F8A-829B-54231C8F7FA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1" name="דיו 680">
              <a:extLst>
                <a:ext uri="{FF2B5EF4-FFF2-40B4-BE49-F238E27FC236}">
                  <a16:creationId xmlns:a16="http://schemas.microsoft.com/office/drawing/2014/main" id="{EB7BE8F5-8A47-4B55-AC2A-33797A56517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2" name="דיו 681">
              <a:extLst>
                <a:ext uri="{FF2B5EF4-FFF2-40B4-BE49-F238E27FC236}">
                  <a16:creationId xmlns:a16="http://schemas.microsoft.com/office/drawing/2014/main" id="{9E21C558-2744-4B1E-BF91-D4BC91A5899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3" name="דיו 682">
              <a:extLst>
                <a:ext uri="{FF2B5EF4-FFF2-40B4-BE49-F238E27FC236}">
                  <a16:creationId xmlns:a16="http://schemas.microsoft.com/office/drawing/2014/main" id="{217225E4-0541-4C9B-A3A5-3A983448D9D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4" name="דיו 683">
              <a:extLst>
                <a:ext uri="{FF2B5EF4-FFF2-40B4-BE49-F238E27FC236}">
                  <a16:creationId xmlns:a16="http://schemas.microsoft.com/office/drawing/2014/main" id="{E30C2C66-824B-4EEA-9433-3DA3E0F0870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5" name="דיו 684">
              <a:extLst>
                <a:ext uri="{FF2B5EF4-FFF2-40B4-BE49-F238E27FC236}">
                  <a16:creationId xmlns:a16="http://schemas.microsoft.com/office/drawing/2014/main" id="{5B753B9F-4E73-41D9-A842-D0155B6A05A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6" name="דיו 685">
              <a:extLst>
                <a:ext uri="{FF2B5EF4-FFF2-40B4-BE49-F238E27FC236}">
                  <a16:creationId xmlns:a16="http://schemas.microsoft.com/office/drawing/2014/main" id="{F36B9AFC-3A84-4EF3-BB6B-AB96CD7ADFA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7" name="דיו 686">
              <a:extLst>
                <a:ext uri="{FF2B5EF4-FFF2-40B4-BE49-F238E27FC236}">
                  <a16:creationId xmlns:a16="http://schemas.microsoft.com/office/drawing/2014/main" id="{50E17B83-178F-4A9F-B77B-C371E761204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88" name="דיו 687">
              <a:extLst>
                <a:ext uri="{FF2B5EF4-FFF2-40B4-BE49-F238E27FC236}">
                  <a16:creationId xmlns:a16="http://schemas.microsoft.com/office/drawing/2014/main" id="{67798FB3-7CB2-4D48-98EB-110AF64F0E2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89" name="דיו 688">
              <a:extLst>
                <a:ext uri="{FF2B5EF4-FFF2-40B4-BE49-F238E27FC236}">
                  <a16:creationId xmlns:a16="http://schemas.microsoft.com/office/drawing/2014/main" id="{6E76E1EA-62B6-4C97-B109-3337BE77D01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0" name="דיו 689">
              <a:extLst>
                <a:ext uri="{FF2B5EF4-FFF2-40B4-BE49-F238E27FC236}">
                  <a16:creationId xmlns:a16="http://schemas.microsoft.com/office/drawing/2014/main" id="{A3606DD6-FE2B-4542-A050-80DA1F5BEA9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1" name="דיו 690">
              <a:extLst>
                <a:ext uri="{FF2B5EF4-FFF2-40B4-BE49-F238E27FC236}">
                  <a16:creationId xmlns:a16="http://schemas.microsoft.com/office/drawing/2014/main" id="{D5B27AD5-B4A8-4C11-BA64-4D49C4ADD0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2" name="דיו 691">
              <a:extLst>
                <a:ext uri="{FF2B5EF4-FFF2-40B4-BE49-F238E27FC236}">
                  <a16:creationId xmlns:a16="http://schemas.microsoft.com/office/drawing/2014/main" id="{3DC7FA05-1475-4BB3-845D-22F08DB4C8C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3" name="דיו 692">
              <a:extLst>
                <a:ext uri="{FF2B5EF4-FFF2-40B4-BE49-F238E27FC236}">
                  <a16:creationId xmlns:a16="http://schemas.microsoft.com/office/drawing/2014/main" id="{F2561124-48C8-4946-9549-C5D69CFE787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4" name="דיו 693">
              <a:extLst>
                <a:ext uri="{FF2B5EF4-FFF2-40B4-BE49-F238E27FC236}">
                  <a16:creationId xmlns:a16="http://schemas.microsoft.com/office/drawing/2014/main" id="{9047BFB3-2848-4B22-BD8C-7EECCE0ED97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5" name="דיו 694">
              <a:extLst>
                <a:ext uri="{FF2B5EF4-FFF2-40B4-BE49-F238E27FC236}">
                  <a16:creationId xmlns:a16="http://schemas.microsoft.com/office/drawing/2014/main" id="{7CA48402-7CE9-429F-B2B1-1A4381C5761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6" name="דיו 695">
              <a:extLst>
                <a:ext uri="{FF2B5EF4-FFF2-40B4-BE49-F238E27FC236}">
                  <a16:creationId xmlns:a16="http://schemas.microsoft.com/office/drawing/2014/main" id="{81C9E8C0-6049-4A23-A84B-2569B37F5DE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7" name="דיו 696">
              <a:extLst>
                <a:ext uri="{FF2B5EF4-FFF2-40B4-BE49-F238E27FC236}">
                  <a16:creationId xmlns:a16="http://schemas.microsoft.com/office/drawing/2014/main" id="{0348DFA0-3AB3-46DB-9017-DAE07621FFE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698" name="דיו 697">
              <a:extLst>
                <a:ext uri="{FF2B5EF4-FFF2-40B4-BE49-F238E27FC236}">
                  <a16:creationId xmlns:a16="http://schemas.microsoft.com/office/drawing/2014/main" id="{86541874-11AC-4199-A6E2-EB19E9F59BA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699" name="דיו 698">
              <a:extLst>
                <a:ext uri="{FF2B5EF4-FFF2-40B4-BE49-F238E27FC236}">
                  <a16:creationId xmlns:a16="http://schemas.microsoft.com/office/drawing/2014/main" id="{D5EE8020-51B2-499B-B861-CEE26E827BE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0" name="דיו 699">
              <a:extLst>
                <a:ext uri="{FF2B5EF4-FFF2-40B4-BE49-F238E27FC236}">
                  <a16:creationId xmlns:a16="http://schemas.microsoft.com/office/drawing/2014/main" id="{B0444FB3-D03F-4EC9-8363-15916FCFCE9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1" name="דיו 700">
              <a:extLst>
                <a:ext uri="{FF2B5EF4-FFF2-40B4-BE49-F238E27FC236}">
                  <a16:creationId xmlns:a16="http://schemas.microsoft.com/office/drawing/2014/main" id="{F430B2D6-6FDC-4409-91F6-615554ABF91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2" name="דיו 701">
              <a:extLst>
                <a:ext uri="{FF2B5EF4-FFF2-40B4-BE49-F238E27FC236}">
                  <a16:creationId xmlns:a16="http://schemas.microsoft.com/office/drawing/2014/main" id="{2AEB0243-236F-4A33-B1F4-96FAD943AD8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3" name="דיו 702">
              <a:extLst>
                <a:ext uri="{FF2B5EF4-FFF2-40B4-BE49-F238E27FC236}">
                  <a16:creationId xmlns:a16="http://schemas.microsoft.com/office/drawing/2014/main" id="{305B1A1C-48F6-4F22-8F3C-9C376039FD2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4" name="דיו 703">
              <a:extLst>
                <a:ext uri="{FF2B5EF4-FFF2-40B4-BE49-F238E27FC236}">
                  <a16:creationId xmlns:a16="http://schemas.microsoft.com/office/drawing/2014/main" id="{13B930A0-24CA-46C6-B6B2-2779D6E3672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5" name="דיו 704">
              <a:extLst>
                <a:ext uri="{FF2B5EF4-FFF2-40B4-BE49-F238E27FC236}">
                  <a16:creationId xmlns:a16="http://schemas.microsoft.com/office/drawing/2014/main" id="{1292CA22-B6C9-4C2A-A9A9-C066F63942F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6" name="דיו 705">
              <a:extLst>
                <a:ext uri="{FF2B5EF4-FFF2-40B4-BE49-F238E27FC236}">
                  <a16:creationId xmlns:a16="http://schemas.microsoft.com/office/drawing/2014/main" id="{186A2B23-E855-4CD7-A14C-305DBF52000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7" name="דיו 706">
              <a:extLst>
                <a:ext uri="{FF2B5EF4-FFF2-40B4-BE49-F238E27FC236}">
                  <a16:creationId xmlns:a16="http://schemas.microsoft.com/office/drawing/2014/main" id="{0B302829-2870-4136-84E0-6BEF2EC24D2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08" name="דיו 707">
              <a:extLst>
                <a:ext uri="{FF2B5EF4-FFF2-40B4-BE49-F238E27FC236}">
                  <a16:creationId xmlns:a16="http://schemas.microsoft.com/office/drawing/2014/main" id="{B8D4232C-D8E4-478B-B429-87493C68888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09" name="דיו 708">
              <a:extLst>
                <a:ext uri="{FF2B5EF4-FFF2-40B4-BE49-F238E27FC236}">
                  <a16:creationId xmlns:a16="http://schemas.microsoft.com/office/drawing/2014/main" id="{E81DEF7C-086D-453C-9D16-C971B81B4EE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0" name="דיו 709">
              <a:extLst>
                <a:ext uri="{FF2B5EF4-FFF2-40B4-BE49-F238E27FC236}">
                  <a16:creationId xmlns:a16="http://schemas.microsoft.com/office/drawing/2014/main" id="{3E4C0C4F-F163-40DF-A413-CE780A95F26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1" name="דיו 710">
              <a:extLst>
                <a:ext uri="{FF2B5EF4-FFF2-40B4-BE49-F238E27FC236}">
                  <a16:creationId xmlns:a16="http://schemas.microsoft.com/office/drawing/2014/main" id="{E51E5A66-B149-43E2-BB4F-FC785B5EAA5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2" name="דיו 711">
              <a:extLst>
                <a:ext uri="{FF2B5EF4-FFF2-40B4-BE49-F238E27FC236}">
                  <a16:creationId xmlns:a16="http://schemas.microsoft.com/office/drawing/2014/main" id="{773B57C1-BCE5-4E27-8AA0-6FB50B76603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3" name="דיו 712">
              <a:extLst>
                <a:ext uri="{FF2B5EF4-FFF2-40B4-BE49-F238E27FC236}">
                  <a16:creationId xmlns:a16="http://schemas.microsoft.com/office/drawing/2014/main" id="{388A14E1-8FCD-49D8-A958-A0F28FB05E6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4" name="דיו 713">
              <a:extLst>
                <a:ext uri="{FF2B5EF4-FFF2-40B4-BE49-F238E27FC236}">
                  <a16:creationId xmlns:a16="http://schemas.microsoft.com/office/drawing/2014/main" id="{46E7704B-F273-48E2-B7B5-88B07C409DC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5" name="דיו 714">
              <a:extLst>
                <a:ext uri="{FF2B5EF4-FFF2-40B4-BE49-F238E27FC236}">
                  <a16:creationId xmlns:a16="http://schemas.microsoft.com/office/drawing/2014/main" id="{8910E614-A1D9-473A-9D96-3EA38A4D13A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6" name="דיו 715">
              <a:extLst>
                <a:ext uri="{FF2B5EF4-FFF2-40B4-BE49-F238E27FC236}">
                  <a16:creationId xmlns:a16="http://schemas.microsoft.com/office/drawing/2014/main" id="{0546ED6E-B76A-4BEA-9251-D3AB2BB61BE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7" name="דיו 716">
              <a:extLst>
                <a:ext uri="{FF2B5EF4-FFF2-40B4-BE49-F238E27FC236}">
                  <a16:creationId xmlns:a16="http://schemas.microsoft.com/office/drawing/2014/main" id="{DFAB351D-BE13-4926-844C-A255C70121D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18" name="דיו 717">
              <a:extLst>
                <a:ext uri="{FF2B5EF4-FFF2-40B4-BE49-F238E27FC236}">
                  <a16:creationId xmlns:a16="http://schemas.microsoft.com/office/drawing/2014/main" id="{CC85DC4F-841E-47AD-AE6F-0540796B624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19" name="דיו 718">
              <a:extLst>
                <a:ext uri="{FF2B5EF4-FFF2-40B4-BE49-F238E27FC236}">
                  <a16:creationId xmlns:a16="http://schemas.microsoft.com/office/drawing/2014/main" id="{B9531D09-8BB7-44DA-9FBE-05930A46D53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0" name="דיו 719">
              <a:extLst>
                <a:ext uri="{FF2B5EF4-FFF2-40B4-BE49-F238E27FC236}">
                  <a16:creationId xmlns:a16="http://schemas.microsoft.com/office/drawing/2014/main" id="{F55B3E4B-A369-438D-B1EB-8467FDF3588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1" name="דיו 720">
              <a:extLst>
                <a:ext uri="{FF2B5EF4-FFF2-40B4-BE49-F238E27FC236}">
                  <a16:creationId xmlns:a16="http://schemas.microsoft.com/office/drawing/2014/main" id="{F125239A-9DFC-4FE8-BBA1-7D183AADC02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2" name="דיו 721">
              <a:extLst>
                <a:ext uri="{FF2B5EF4-FFF2-40B4-BE49-F238E27FC236}">
                  <a16:creationId xmlns:a16="http://schemas.microsoft.com/office/drawing/2014/main" id="{2B978358-0726-49CA-A6DA-B3F3EFE453A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3" name="דיו 722">
              <a:extLst>
                <a:ext uri="{FF2B5EF4-FFF2-40B4-BE49-F238E27FC236}">
                  <a16:creationId xmlns:a16="http://schemas.microsoft.com/office/drawing/2014/main" id="{D5C1CB8D-2585-4B94-9FFF-4FA027CA4B6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4" name="דיו 723">
              <a:extLst>
                <a:ext uri="{FF2B5EF4-FFF2-40B4-BE49-F238E27FC236}">
                  <a16:creationId xmlns:a16="http://schemas.microsoft.com/office/drawing/2014/main" id="{5CB20ECB-24E6-4F42-B1D9-EE093747754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5" name="דיו 724">
              <a:extLst>
                <a:ext uri="{FF2B5EF4-FFF2-40B4-BE49-F238E27FC236}">
                  <a16:creationId xmlns:a16="http://schemas.microsoft.com/office/drawing/2014/main" id="{19951844-E72B-4D87-9DD0-B30AB72FF33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6" name="דיו 725">
              <a:extLst>
                <a:ext uri="{FF2B5EF4-FFF2-40B4-BE49-F238E27FC236}">
                  <a16:creationId xmlns:a16="http://schemas.microsoft.com/office/drawing/2014/main" id="{54C0A00C-3F7D-4B9C-B907-B9902107AB2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7" name="דיו 726">
              <a:extLst>
                <a:ext uri="{FF2B5EF4-FFF2-40B4-BE49-F238E27FC236}">
                  <a16:creationId xmlns:a16="http://schemas.microsoft.com/office/drawing/2014/main" id="{13D80799-EDF4-4CEE-A422-E9F413911FB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28" name="דיו 727">
              <a:extLst>
                <a:ext uri="{FF2B5EF4-FFF2-40B4-BE49-F238E27FC236}">
                  <a16:creationId xmlns:a16="http://schemas.microsoft.com/office/drawing/2014/main" id="{2C1D6B65-2038-41E4-BF61-50785F96A51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29" name="דיו 728">
              <a:extLst>
                <a:ext uri="{FF2B5EF4-FFF2-40B4-BE49-F238E27FC236}">
                  <a16:creationId xmlns:a16="http://schemas.microsoft.com/office/drawing/2014/main" id="{3FA5C8E1-7621-45EE-8EBF-D46F17A9472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0" name="דיו 729">
              <a:extLst>
                <a:ext uri="{FF2B5EF4-FFF2-40B4-BE49-F238E27FC236}">
                  <a16:creationId xmlns:a16="http://schemas.microsoft.com/office/drawing/2014/main" id="{75C01751-3BCE-406A-9506-44C3DABEC41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1" name="דיו 730">
              <a:extLst>
                <a:ext uri="{FF2B5EF4-FFF2-40B4-BE49-F238E27FC236}">
                  <a16:creationId xmlns:a16="http://schemas.microsoft.com/office/drawing/2014/main" id="{D387A953-F4CA-48D7-A9E3-9C9EA5663AA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2" name="דיו 731">
              <a:extLst>
                <a:ext uri="{FF2B5EF4-FFF2-40B4-BE49-F238E27FC236}">
                  <a16:creationId xmlns:a16="http://schemas.microsoft.com/office/drawing/2014/main" id="{070E6657-0486-4748-B2AA-6BCB786212C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3" name="דיו 732">
              <a:extLst>
                <a:ext uri="{FF2B5EF4-FFF2-40B4-BE49-F238E27FC236}">
                  <a16:creationId xmlns:a16="http://schemas.microsoft.com/office/drawing/2014/main" id="{8B0D9734-D5F3-4F88-918A-DA9C319E281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4" name="דיו 733">
              <a:extLst>
                <a:ext uri="{FF2B5EF4-FFF2-40B4-BE49-F238E27FC236}">
                  <a16:creationId xmlns:a16="http://schemas.microsoft.com/office/drawing/2014/main" id="{9E3A0304-BDEB-4964-8948-6573221DD19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5" name="דיו 734">
              <a:extLst>
                <a:ext uri="{FF2B5EF4-FFF2-40B4-BE49-F238E27FC236}">
                  <a16:creationId xmlns:a16="http://schemas.microsoft.com/office/drawing/2014/main" id="{1FB11501-3520-41A3-BF54-15B4D2A12C3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6" name="דיו 735">
              <a:extLst>
                <a:ext uri="{FF2B5EF4-FFF2-40B4-BE49-F238E27FC236}">
                  <a16:creationId xmlns:a16="http://schemas.microsoft.com/office/drawing/2014/main" id="{8DBDB6E7-FAF8-4B31-A3ED-5180C8B0BF1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7" name="דיו 736">
              <a:extLst>
                <a:ext uri="{FF2B5EF4-FFF2-40B4-BE49-F238E27FC236}">
                  <a16:creationId xmlns:a16="http://schemas.microsoft.com/office/drawing/2014/main" id="{B22D7FE4-A2EB-493E-B171-CE51A9DB00C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38" name="דיו 737">
              <a:extLst>
                <a:ext uri="{FF2B5EF4-FFF2-40B4-BE49-F238E27FC236}">
                  <a16:creationId xmlns:a16="http://schemas.microsoft.com/office/drawing/2014/main" id="{8E4FFEE0-FC08-484A-A760-FD700631F99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39" name="דיו 738">
              <a:extLst>
                <a:ext uri="{FF2B5EF4-FFF2-40B4-BE49-F238E27FC236}">
                  <a16:creationId xmlns:a16="http://schemas.microsoft.com/office/drawing/2014/main" id="{B8ED188B-0BC6-4C76-A41A-CED2973BC22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0" name="דיו 739">
              <a:extLst>
                <a:ext uri="{FF2B5EF4-FFF2-40B4-BE49-F238E27FC236}">
                  <a16:creationId xmlns:a16="http://schemas.microsoft.com/office/drawing/2014/main" id="{60685304-438C-4601-A8A1-216F0BC0A6A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1" name="דיו 740">
              <a:extLst>
                <a:ext uri="{FF2B5EF4-FFF2-40B4-BE49-F238E27FC236}">
                  <a16:creationId xmlns:a16="http://schemas.microsoft.com/office/drawing/2014/main" id="{B981C950-37A5-453C-8168-7513165B307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2" name="דיו 741">
              <a:extLst>
                <a:ext uri="{FF2B5EF4-FFF2-40B4-BE49-F238E27FC236}">
                  <a16:creationId xmlns:a16="http://schemas.microsoft.com/office/drawing/2014/main" id="{5A908285-DFA4-43F7-8559-34023CDC308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3" name="דיו 742">
              <a:extLst>
                <a:ext uri="{FF2B5EF4-FFF2-40B4-BE49-F238E27FC236}">
                  <a16:creationId xmlns:a16="http://schemas.microsoft.com/office/drawing/2014/main" id="{81D6D52D-EC49-4062-BC34-86F6B3C0498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4" name="דיו 743">
              <a:extLst>
                <a:ext uri="{FF2B5EF4-FFF2-40B4-BE49-F238E27FC236}">
                  <a16:creationId xmlns:a16="http://schemas.microsoft.com/office/drawing/2014/main" id="{8310A8A7-1653-496D-BBFC-9743AD8E0B4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5" name="דיו 744">
              <a:extLst>
                <a:ext uri="{FF2B5EF4-FFF2-40B4-BE49-F238E27FC236}">
                  <a16:creationId xmlns:a16="http://schemas.microsoft.com/office/drawing/2014/main" id="{0A3A591E-91B0-423D-AD86-F76A658C374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6" name="דיו 745">
              <a:extLst>
                <a:ext uri="{FF2B5EF4-FFF2-40B4-BE49-F238E27FC236}">
                  <a16:creationId xmlns:a16="http://schemas.microsoft.com/office/drawing/2014/main" id="{4DF560A8-ECCD-46B4-9A54-D6B4D39066A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7" name="דיו 746">
              <a:extLst>
                <a:ext uri="{FF2B5EF4-FFF2-40B4-BE49-F238E27FC236}">
                  <a16:creationId xmlns:a16="http://schemas.microsoft.com/office/drawing/2014/main" id="{DBA86AEA-D8EE-492F-A4C7-01589FFE03B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48" name="דיו 747">
              <a:extLst>
                <a:ext uri="{FF2B5EF4-FFF2-40B4-BE49-F238E27FC236}">
                  <a16:creationId xmlns:a16="http://schemas.microsoft.com/office/drawing/2014/main" id="{0C31D5A9-5E9A-4803-BD7C-6858045021F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49" name="דיו 748">
              <a:extLst>
                <a:ext uri="{FF2B5EF4-FFF2-40B4-BE49-F238E27FC236}">
                  <a16:creationId xmlns:a16="http://schemas.microsoft.com/office/drawing/2014/main" id="{C5D4B326-C22E-4C6F-859B-64CD4BCD2A5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0" name="דיו 749">
              <a:extLst>
                <a:ext uri="{FF2B5EF4-FFF2-40B4-BE49-F238E27FC236}">
                  <a16:creationId xmlns:a16="http://schemas.microsoft.com/office/drawing/2014/main" id="{78B4A186-B3AD-40CF-92A3-F4F825664E1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1" name="דיו 750">
              <a:extLst>
                <a:ext uri="{FF2B5EF4-FFF2-40B4-BE49-F238E27FC236}">
                  <a16:creationId xmlns:a16="http://schemas.microsoft.com/office/drawing/2014/main" id="{619EDD41-6C0A-40C1-B9FF-39D4CB494E9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2" name="דיו 751">
              <a:extLst>
                <a:ext uri="{FF2B5EF4-FFF2-40B4-BE49-F238E27FC236}">
                  <a16:creationId xmlns:a16="http://schemas.microsoft.com/office/drawing/2014/main" id="{083C5ED1-4F6C-4AD3-B945-7272D7FE22F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3" name="דיו 752">
              <a:extLst>
                <a:ext uri="{FF2B5EF4-FFF2-40B4-BE49-F238E27FC236}">
                  <a16:creationId xmlns:a16="http://schemas.microsoft.com/office/drawing/2014/main" id="{8BE51D15-DB85-4D44-9EA4-AD9E248F393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4" name="דיו 753">
              <a:extLst>
                <a:ext uri="{FF2B5EF4-FFF2-40B4-BE49-F238E27FC236}">
                  <a16:creationId xmlns:a16="http://schemas.microsoft.com/office/drawing/2014/main" id="{7BEC720C-CF07-4358-A07A-D5CC5FFE088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5" name="דיו 754">
              <a:extLst>
                <a:ext uri="{FF2B5EF4-FFF2-40B4-BE49-F238E27FC236}">
                  <a16:creationId xmlns:a16="http://schemas.microsoft.com/office/drawing/2014/main" id="{FF45F5AA-0002-4418-B160-EDC056A67A7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6" name="דיו 755">
              <a:extLst>
                <a:ext uri="{FF2B5EF4-FFF2-40B4-BE49-F238E27FC236}">
                  <a16:creationId xmlns:a16="http://schemas.microsoft.com/office/drawing/2014/main" id="{B18A2E65-D5EA-439F-8B1F-C591133D5B3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7" name="דיו 756">
              <a:extLst>
                <a:ext uri="{FF2B5EF4-FFF2-40B4-BE49-F238E27FC236}">
                  <a16:creationId xmlns:a16="http://schemas.microsoft.com/office/drawing/2014/main" id="{87540A07-6120-41A3-86D5-602E85BD7A1E}"/>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58" name="דיו 757">
              <a:extLst>
                <a:ext uri="{FF2B5EF4-FFF2-40B4-BE49-F238E27FC236}">
                  <a16:creationId xmlns:a16="http://schemas.microsoft.com/office/drawing/2014/main" id="{144917B8-F880-495E-964A-0C32157B1CD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59" name="דיו 758">
              <a:extLst>
                <a:ext uri="{FF2B5EF4-FFF2-40B4-BE49-F238E27FC236}">
                  <a16:creationId xmlns:a16="http://schemas.microsoft.com/office/drawing/2014/main" id="{8C4024ED-510F-4F2D-A61E-435016906FA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0" name="דיו 759">
              <a:extLst>
                <a:ext uri="{FF2B5EF4-FFF2-40B4-BE49-F238E27FC236}">
                  <a16:creationId xmlns:a16="http://schemas.microsoft.com/office/drawing/2014/main" id="{2576084B-C441-4BD7-A76F-ADD51B2F4FD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1" name="דיו 760">
              <a:extLst>
                <a:ext uri="{FF2B5EF4-FFF2-40B4-BE49-F238E27FC236}">
                  <a16:creationId xmlns:a16="http://schemas.microsoft.com/office/drawing/2014/main" id="{58379BE2-3028-40D8-AD8F-B37C28897B6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2" name="דיו 761">
              <a:extLst>
                <a:ext uri="{FF2B5EF4-FFF2-40B4-BE49-F238E27FC236}">
                  <a16:creationId xmlns:a16="http://schemas.microsoft.com/office/drawing/2014/main" id="{719271F7-21C9-48F6-B8BC-DE75272D5C5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3" name="דיו 762">
              <a:extLst>
                <a:ext uri="{FF2B5EF4-FFF2-40B4-BE49-F238E27FC236}">
                  <a16:creationId xmlns:a16="http://schemas.microsoft.com/office/drawing/2014/main" id="{A82A065C-1C91-4929-B5FB-278DE566671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4" name="דיו 763">
              <a:extLst>
                <a:ext uri="{FF2B5EF4-FFF2-40B4-BE49-F238E27FC236}">
                  <a16:creationId xmlns:a16="http://schemas.microsoft.com/office/drawing/2014/main" id="{7FC181C3-B1B9-4C80-9A59-0F1C4A8D0AF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5" name="דיו 764">
              <a:extLst>
                <a:ext uri="{FF2B5EF4-FFF2-40B4-BE49-F238E27FC236}">
                  <a16:creationId xmlns:a16="http://schemas.microsoft.com/office/drawing/2014/main" id="{F03A2077-BE88-4016-987C-89058DCF05A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6" name="דיו 765">
              <a:extLst>
                <a:ext uri="{FF2B5EF4-FFF2-40B4-BE49-F238E27FC236}">
                  <a16:creationId xmlns:a16="http://schemas.microsoft.com/office/drawing/2014/main" id="{0227047A-70F0-4416-B66C-8DE4457C2B5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7" name="דיו 766">
              <a:extLst>
                <a:ext uri="{FF2B5EF4-FFF2-40B4-BE49-F238E27FC236}">
                  <a16:creationId xmlns:a16="http://schemas.microsoft.com/office/drawing/2014/main" id="{3B10282A-765E-4286-BEF9-9221275D5E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68" name="דיו 767">
              <a:extLst>
                <a:ext uri="{FF2B5EF4-FFF2-40B4-BE49-F238E27FC236}">
                  <a16:creationId xmlns:a16="http://schemas.microsoft.com/office/drawing/2014/main" id="{92D52829-353B-454E-9F74-162D4BBB5B0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69" name="דיו 768">
              <a:extLst>
                <a:ext uri="{FF2B5EF4-FFF2-40B4-BE49-F238E27FC236}">
                  <a16:creationId xmlns:a16="http://schemas.microsoft.com/office/drawing/2014/main" id="{904763B2-467F-4EEB-9EAD-106612FDF64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0" name="דיו 769">
              <a:extLst>
                <a:ext uri="{FF2B5EF4-FFF2-40B4-BE49-F238E27FC236}">
                  <a16:creationId xmlns:a16="http://schemas.microsoft.com/office/drawing/2014/main" id="{57F3BBBE-D426-4BD8-B87F-19DFDDC763A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1" name="דיו 770">
              <a:extLst>
                <a:ext uri="{FF2B5EF4-FFF2-40B4-BE49-F238E27FC236}">
                  <a16:creationId xmlns:a16="http://schemas.microsoft.com/office/drawing/2014/main" id="{E254D0D8-5693-459C-8197-B4133AD67A9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2" name="דיו 771">
              <a:extLst>
                <a:ext uri="{FF2B5EF4-FFF2-40B4-BE49-F238E27FC236}">
                  <a16:creationId xmlns:a16="http://schemas.microsoft.com/office/drawing/2014/main" id="{A49EF817-99A5-451F-A946-B597177F38E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3" name="דיו 772">
              <a:extLst>
                <a:ext uri="{FF2B5EF4-FFF2-40B4-BE49-F238E27FC236}">
                  <a16:creationId xmlns:a16="http://schemas.microsoft.com/office/drawing/2014/main" id="{CA4FC391-E08E-4D8F-90C2-B192192F14A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4" name="דיו 773">
              <a:extLst>
                <a:ext uri="{FF2B5EF4-FFF2-40B4-BE49-F238E27FC236}">
                  <a16:creationId xmlns:a16="http://schemas.microsoft.com/office/drawing/2014/main" id="{C9CD646F-0031-409D-A657-556D8D8087C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5" name="דיו 774">
              <a:extLst>
                <a:ext uri="{FF2B5EF4-FFF2-40B4-BE49-F238E27FC236}">
                  <a16:creationId xmlns:a16="http://schemas.microsoft.com/office/drawing/2014/main" id="{82863CD5-0A3B-4AAD-A872-A5A568919A4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6" name="דיו 775">
              <a:extLst>
                <a:ext uri="{FF2B5EF4-FFF2-40B4-BE49-F238E27FC236}">
                  <a16:creationId xmlns:a16="http://schemas.microsoft.com/office/drawing/2014/main" id="{577D61FD-0CB3-4513-9237-C559214330E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7" name="דיו 776">
              <a:extLst>
                <a:ext uri="{FF2B5EF4-FFF2-40B4-BE49-F238E27FC236}">
                  <a16:creationId xmlns:a16="http://schemas.microsoft.com/office/drawing/2014/main" id="{02182BF7-D03F-4024-8BCE-D4AA6C617D6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78" name="דיו 777">
              <a:extLst>
                <a:ext uri="{FF2B5EF4-FFF2-40B4-BE49-F238E27FC236}">
                  <a16:creationId xmlns:a16="http://schemas.microsoft.com/office/drawing/2014/main" id="{BA1629A5-78BA-4754-BB0D-4441CF1B80D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79" name="דיו 778">
              <a:extLst>
                <a:ext uri="{FF2B5EF4-FFF2-40B4-BE49-F238E27FC236}">
                  <a16:creationId xmlns:a16="http://schemas.microsoft.com/office/drawing/2014/main" id="{1B06583B-AE0E-479C-8B67-EDCB6186CFE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0" name="דיו 779">
              <a:extLst>
                <a:ext uri="{FF2B5EF4-FFF2-40B4-BE49-F238E27FC236}">
                  <a16:creationId xmlns:a16="http://schemas.microsoft.com/office/drawing/2014/main" id="{E3449371-429E-47CF-9D5D-87DEB85BAD3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1" name="דיו 780">
              <a:extLst>
                <a:ext uri="{FF2B5EF4-FFF2-40B4-BE49-F238E27FC236}">
                  <a16:creationId xmlns:a16="http://schemas.microsoft.com/office/drawing/2014/main" id="{5AB0470A-1F91-4B50-B524-B421EAC2CE6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2" name="דיו 781">
              <a:extLst>
                <a:ext uri="{FF2B5EF4-FFF2-40B4-BE49-F238E27FC236}">
                  <a16:creationId xmlns:a16="http://schemas.microsoft.com/office/drawing/2014/main" id="{7DFD52AF-1238-4599-ADD4-4DD22D0912E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3" name="דיו 782">
              <a:extLst>
                <a:ext uri="{FF2B5EF4-FFF2-40B4-BE49-F238E27FC236}">
                  <a16:creationId xmlns:a16="http://schemas.microsoft.com/office/drawing/2014/main" id="{3C89506D-2827-4CDF-BACF-DA47BD0730F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4" name="דיו 783">
              <a:extLst>
                <a:ext uri="{FF2B5EF4-FFF2-40B4-BE49-F238E27FC236}">
                  <a16:creationId xmlns:a16="http://schemas.microsoft.com/office/drawing/2014/main" id="{1EC48E18-91DE-4896-ADFA-1E1D3D8A9E9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5" name="דיו 784">
              <a:extLst>
                <a:ext uri="{FF2B5EF4-FFF2-40B4-BE49-F238E27FC236}">
                  <a16:creationId xmlns:a16="http://schemas.microsoft.com/office/drawing/2014/main" id="{94321942-191F-41DE-BC79-6C25929B0A5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6" name="דיו 785">
              <a:extLst>
                <a:ext uri="{FF2B5EF4-FFF2-40B4-BE49-F238E27FC236}">
                  <a16:creationId xmlns:a16="http://schemas.microsoft.com/office/drawing/2014/main" id="{311F4541-BD26-423B-91A2-68E41F2DABD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7" name="דיו 786">
              <a:extLst>
                <a:ext uri="{FF2B5EF4-FFF2-40B4-BE49-F238E27FC236}">
                  <a16:creationId xmlns:a16="http://schemas.microsoft.com/office/drawing/2014/main" id="{1CAA5BF1-DBCE-4F07-9110-9FAFA707328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88" name="דיו 787">
              <a:extLst>
                <a:ext uri="{FF2B5EF4-FFF2-40B4-BE49-F238E27FC236}">
                  <a16:creationId xmlns:a16="http://schemas.microsoft.com/office/drawing/2014/main" id="{E4213B2E-044B-4EF6-AD03-79EDF95A697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89" name="דיו 788">
              <a:extLst>
                <a:ext uri="{FF2B5EF4-FFF2-40B4-BE49-F238E27FC236}">
                  <a16:creationId xmlns:a16="http://schemas.microsoft.com/office/drawing/2014/main" id="{473DCF7D-5F27-41CD-8733-9E7472A882D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0" name="דיו 789">
              <a:extLst>
                <a:ext uri="{FF2B5EF4-FFF2-40B4-BE49-F238E27FC236}">
                  <a16:creationId xmlns:a16="http://schemas.microsoft.com/office/drawing/2014/main" id="{7B178A45-A74B-412D-9FF3-A5C6EB6EEFF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1" name="דיו 790">
              <a:extLst>
                <a:ext uri="{FF2B5EF4-FFF2-40B4-BE49-F238E27FC236}">
                  <a16:creationId xmlns:a16="http://schemas.microsoft.com/office/drawing/2014/main" id="{63487A1D-0F9C-4216-9AA1-024D6346362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2" name="דיו 791">
              <a:extLst>
                <a:ext uri="{FF2B5EF4-FFF2-40B4-BE49-F238E27FC236}">
                  <a16:creationId xmlns:a16="http://schemas.microsoft.com/office/drawing/2014/main" id="{0C0DFE77-B12F-45E9-A1CB-F1B8318AD02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3" name="דיו 792">
              <a:extLst>
                <a:ext uri="{FF2B5EF4-FFF2-40B4-BE49-F238E27FC236}">
                  <a16:creationId xmlns:a16="http://schemas.microsoft.com/office/drawing/2014/main" id="{F1512723-9CB6-40FE-A2D5-42B42CE760E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4" name="דיו 793">
              <a:extLst>
                <a:ext uri="{FF2B5EF4-FFF2-40B4-BE49-F238E27FC236}">
                  <a16:creationId xmlns:a16="http://schemas.microsoft.com/office/drawing/2014/main" id="{3F436E35-92C7-49A1-8C77-BBF47FC9E88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5" name="דיו 794">
              <a:extLst>
                <a:ext uri="{FF2B5EF4-FFF2-40B4-BE49-F238E27FC236}">
                  <a16:creationId xmlns:a16="http://schemas.microsoft.com/office/drawing/2014/main" id="{16AA11B5-9F09-4664-9AF5-FFE8409BA5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6" name="דיו 795">
              <a:extLst>
                <a:ext uri="{FF2B5EF4-FFF2-40B4-BE49-F238E27FC236}">
                  <a16:creationId xmlns:a16="http://schemas.microsoft.com/office/drawing/2014/main" id="{E4A8A8B7-036D-48EB-8C00-72E2ACE1207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7" name="דיו 796">
              <a:extLst>
                <a:ext uri="{FF2B5EF4-FFF2-40B4-BE49-F238E27FC236}">
                  <a16:creationId xmlns:a16="http://schemas.microsoft.com/office/drawing/2014/main" id="{E6A3391F-08E9-4284-A7EE-7ADD376E378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798" name="דיו 797">
              <a:extLst>
                <a:ext uri="{FF2B5EF4-FFF2-40B4-BE49-F238E27FC236}">
                  <a16:creationId xmlns:a16="http://schemas.microsoft.com/office/drawing/2014/main" id="{CFDA4DA1-5D14-4D12-B07F-9CE056C8804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799" name="דיו 798">
              <a:extLst>
                <a:ext uri="{FF2B5EF4-FFF2-40B4-BE49-F238E27FC236}">
                  <a16:creationId xmlns:a16="http://schemas.microsoft.com/office/drawing/2014/main" id="{48C1373E-4C39-49F8-8FF8-AEE55159A6A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0" name="דיו 799">
              <a:extLst>
                <a:ext uri="{FF2B5EF4-FFF2-40B4-BE49-F238E27FC236}">
                  <a16:creationId xmlns:a16="http://schemas.microsoft.com/office/drawing/2014/main" id="{FDC37A15-A822-4677-BF71-799AB2228E1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1" name="דיו 800">
              <a:extLst>
                <a:ext uri="{FF2B5EF4-FFF2-40B4-BE49-F238E27FC236}">
                  <a16:creationId xmlns:a16="http://schemas.microsoft.com/office/drawing/2014/main" id="{F506B496-0D90-4340-9FAC-4F3E3CE6616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2" name="דיו 801">
              <a:extLst>
                <a:ext uri="{FF2B5EF4-FFF2-40B4-BE49-F238E27FC236}">
                  <a16:creationId xmlns:a16="http://schemas.microsoft.com/office/drawing/2014/main" id="{22F7F8AB-8B74-4B07-9057-56D38EB81C8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3" name="דיו 802">
              <a:extLst>
                <a:ext uri="{FF2B5EF4-FFF2-40B4-BE49-F238E27FC236}">
                  <a16:creationId xmlns:a16="http://schemas.microsoft.com/office/drawing/2014/main" id="{B7EEA601-54D0-48DF-A167-A8AD71F291D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4" name="דיו 803">
              <a:extLst>
                <a:ext uri="{FF2B5EF4-FFF2-40B4-BE49-F238E27FC236}">
                  <a16:creationId xmlns:a16="http://schemas.microsoft.com/office/drawing/2014/main" id="{A70E77D0-B61B-4D9D-A879-F574D9881CB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5" name="דיו 804">
              <a:extLst>
                <a:ext uri="{FF2B5EF4-FFF2-40B4-BE49-F238E27FC236}">
                  <a16:creationId xmlns:a16="http://schemas.microsoft.com/office/drawing/2014/main" id="{D554BD74-0BBF-4607-BB17-5CB876E8461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6" name="דיו 805">
              <a:extLst>
                <a:ext uri="{FF2B5EF4-FFF2-40B4-BE49-F238E27FC236}">
                  <a16:creationId xmlns:a16="http://schemas.microsoft.com/office/drawing/2014/main" id="{B4A6A911-44FF-4651-93DC-7C05AEA5E63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7" name="דיו 806">
              <a:extLst>
                <a:ext uri="{FF2B5EF4-FFF2-40B4-BE49-F238E27FC236}">
                  <a16:creationId xmlns:a16="http://schemas.microsoft.com/office/drawing/2014/main" id="{A34253B3-1AA2-4A3A-84E5-698BA43D4A3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08" name="דיו 807">
              <a:extLst>
                <a:ext uri="{FF2B5EF4-FFF2-40B4-BE49-F238E27FC236}">
                  <a16:creationId xmlns:a16="http://schemas.microsoft.com/office/drawing/2014/main" id="{4ED00666-53D7-4B08-AAB4-36F3ADA1DF7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09" name="דיו 808">
              <a:extLst>
                <a:ext uri="{FF2B5EF4-FFF2-40B4-BE49-F238E27FC236}">
                  <a16:creationId xmlns:a16="http://schemas.microsoft.com/office/drawing/2014/main" id="{E941E43B-9A51-4483-B435-0EE5F7C21AD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0" name="דיו 809">
              <a:extLst>
                <a:ext uri="{FF2B5EF4-FFF2-40B4-BE49-F238E27FC236}">
                  <a16:creationId xmlns:a16="http://schemas.microsoft.com/office/drawing/2014/main" id="{68CC1245-7E5F-4C2A-A500-06112171F12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1" name="דיו 810">
              <a:extLst>
                <a:ext uri="{FF2B5EF4-FFF2-40B4-BE49-F238E27FC236}">
                  <a16:creationId xmlns:a16="http://schemas.microsoft.com/office/drawing/2014/main" id="{25C02EA7-397A-4BAC-8904-B49E0272827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2" name="דיו 811">
              <a:extLst>
                <a:ext uri="{FF2B5EF4-FFF2-40B4-BE49-F238E27FC236}">
                  <a16:creationId xmlns:a16="http://schemas.microsoft.com/office/drawing/2014/main" id="{011A2F5F-4315-408D-9F07-FCF8BFD798D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3" name="דיו 812">
              <a:extLst>
                <a:ext uri="{FF2B5EF4-FFF2-40B4-BE49-F238E27FC236}">
                  <a16:creationId xmlns:a16="http://schemas.microsoft.com/office/drawing/2014/main" id="{B0AE4E70-5700-4384-AFB0-F7C0CE7EC5B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4" name="דיו 813">
              <a:extLst>
                <a:ext uri="{FF2B5EF4-FFF2-40B4-BE49-F238E27FC236}">
                  <a16:creationId xmlns:a16="http://schemas.microsoft.com/office/drawing/2014/main" id="{DB649B0F-FDDC-4D00-BDCA-2B11E46A701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5" name="דיו 814">
              <a:extLst>
                <a:ext uri="{FF2B5EF4-FFF2-40B4-BE49-F238E27FC236}">
                  <a16:creationId xmlns:a16="http://schemas.microsoft.com/office/drawing/2014/main" id="{B8069172-258F-4B4E-93FF-44659FED7D19}"/>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6" name="דיו 815">
              <a:extLst>
                <a:ext uri="{FF2B5EF4-FFF2-40B4-BE49-F238E27FC236}">
                  <a16:creationId xmlns:a16="http://schemas.microsoft.com/office/drawing/2014/main" id="{7EE52BFE-C1C2-4DB5-B766-D25A43FAC54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7" name="דיו 816">
              <a:extLst>
                <a:ext uri="{FF2B5EF4-FFF2-40B4-BE49-F238E27FC236}">
                  <a16:creationId xmlns:a16="http://schemas.microsoft.com/office/drawing/2014/main" id="{55A6F891-2617-4250-BEAB-721DE917DBA3}"/>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18" name="דיו 817">
              <a:extLst>
                <a:ext uri="{FF2B5EF4-FFF2-40B4-BE49-F238E27FC236}">
                  <a16:creationId xmlns:a16="http://schemas.microsoft.com/office/drawing/2014/main" id="{B4F0EEB8-E4D5-4F9E-AB51-26591F6DC7C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19" name="דיו 818">
              <a:extLst>
                <a:ext uri="{FF2B5EF4-FFF2-40B4-BE49-F238E27FC236}">
                  <a16:creationId xmlns:a16="http://schemas.microsoft.com/office/drawing/2014/main" id="{267CD557-D7EF-463F-8A20-3C805833188B}"/>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0" name="דיו 819">
              <a:extLst>
                <a:ext uri="{FF2B5EF4-FFF2-40B4-BE49-F238E27FC236}">
                  <a16:creationId xmlns:a16="http://schemas.microsoft.com/office/drawing/2014/main" id="{B5F73D89-2D38-4687-85CF-F6D25C63127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37" name="דיו 836">
              <a:extLst>
                <a:ext uri="{FF2B5EF4-FFF2-40B4-BE49-F238E27FC236}">
                  <a16:creationId xmlns:a16="http://schemas.microsoft.com/office/drawing/2014/main" id="{32B79BA0-E629-4933-8405-3AA9CCD8ADB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38" name="דיו 837">
              <a:extLst>
                <a:ext uri="{FF2B5EF4-FFF2-40B4-BE49-F238E27FC236}">
                  <a16:creationId xmlns:a16="http://schemas.microsoft.com/office/drawing/2014/main" id="{CA6FA28F-F852-4BBC-BD71-4356DB503C0F}"/>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39" name="דיו 838">
              <a:extLst>
                <a:ext uri="{FF2B5EF4-FFF2-40B4-BE49-F238E27FC236}">
                  <a16:creationId xmlns:a16="http://schemas.microsoft.com/office/drawing/2014/main" id="{8506A2BA-0A81-43B1-A3B2-2288400A3D1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40" name="דיו 839">
              <a:extLst>
                <a:ext uri="{FF2B5EF4-FFF2-40B4-BE49-F238E27FC236}">
                  <a16:creationId xmlns:a16="http://schemas.microsoft.com/office/drawing/2014/main" id="{A286E44A-7569-4497-AB3E-249790EED84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41" name="דיו 840">
              <a:extLst>
                <a:ext uri="{FF2B5EF4-FFF2-40B4-BE49-F238E27FC236}">
                  <a16:creationId xmlns:a16="http://schemas.microsoft.com/office/drawing/2014/main" id="{C5045D8C-BAEE-4472-A8B0-73574858C61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42" name="דיו 841">
              <a:extLst>
                <a:ext uri="{FF2B5EF4-FFF2-40B4-BE49-F238E27FC236}">
                  <a16:creationId xmlns:a16="http://schemas.microsoft.com/office/drawing/2014/main" id="{3FA271B7-A50B-45B2-AF30-EB2B88B7948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43" name="דיו 842">
              <a:extLst>
                <a:ext uri="{FF2B5EF4-FFF2-40B4-BE49-F238E27FC236}">
                  <a16:creationId xmlns:a16="http://schemas.microsoft.com/office/drawing/2014/main" id="{9A65CD75-C13E-4AD4-90C3-BA70136F9E7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44" name="דיו 843">
              <a:extLst>
                <a:ext uri="{FF2B5EF4-FFF2-40B4-BE49-F238E27FC236}">
                  <a16:creationId xmlns:a16="http://schemas.microsoft.com/office/drawing/2014/main" id="{8C937FE8-5D24-4525-AECE-4F65E13E22E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45" name="דיו 844">
              <a:extLst>
                <a:ext uri="{FF2B5EF4-FFF2-40B4-BE49-F238E27FC236}">
                  <a16:creationId xmlns:a16="http://schemas.microsoft.com/office/drawing/2014/main" id="{8B2CC5C3-D491-456E-A45E-8503D6C703E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46" name="דיו 845">
              <a:extLst>
                <a:ext uri="{FF2B5EF4-FFF2-40B4-BE49-F238E27FC236}">
                  <a16:creationId xmlns:a16="http://schemas.microsoft.com/office/drawing/2014/main" id="{9DE31D54-63D5-416C-8A89-017FA7F17AC6}"/>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47" name="דיו 846">
              <a:extLst>
                <a:ext uri="{FF2B5EF4-FFF2-40B4-BE49-F238E27FC236}">
                  <a16:creationId xmlns:a16="http://schemas.microsoft.com/office/drawing/2014/main" id="{6723AB27-279F-42BF-9890-2C9832B73257}"/>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48" name="דיו 847">
              <a:extLst>
                <a:ext uri="{FF2B5EF4-FFF2-40B4-BE49-F238E27FC236}">
                  <a16:creationId xmlns:a16="http://schemas.microsoft.com/office/drawing/2014/main" id="{B117FE99-0AA7-4DEF-B1A0-F375F90D8EF0}"/>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49" name="דיו 848">
              <a:extLst>
                <a:ext uri="{FF2B5EF4-FFF2-40B4-BE49-F238E27FC236}">
                  <a16:creationId xmlns:a16="http://schemas.microsoft.com/office/drawing/2014/main" id="{A81F6BAF-C613-490B-9094-CE5A8D05813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50" name="דיו 849">
              <a:extLst>
                <a:ext uri="{FF2B5EF4-FFF2-40B4-BE49-F238E27FC236}">
                  <a16:creationId xmlns:a16="http://schemas.microsoft.com/office/drawing/2014/main" id="{FA746889-40CA-42A2-B2BA-21AB9E4ED2A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51" name="דיו 850">
              <a:extLst>
                <a:ext uri="{FF2B5EF4-FFF2-40B4-BE49-F238E27FC236}">
                  <a16:creationId xmlns:a16="http://schemas.microsoft.com/office/drawing/2014/main" id="{20BE4778-697E-432F-976E-61248394784C}"/>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52" name="דיו 851">
              <a:extLst>
                <a:ext uri="{FF2B5EF4-FFF2-40B4-BE49-F238E27FC236}">
                  <a16:creationId xmlns:a16="http://schemas.microsoft.com/office/drawing/2014/main" id="{F0F8E989-C88D-4ED9-8B4E-652367EB6EB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17</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53" name="דיו 852">
              <a:extLst>
                <a:ext uri="{FF2B5EF4-FFF2-40B4-BE49-F238E27FC236}">
                  <a16:creationId xmlns:a16="http://schemas.microsoft.com/office/drawing/2014/main" id="{F12D15FF-F746-4462-95DF-07BA9D784D3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18</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54" name="דיו 853">
              <a:extLst>
                <a:ext uri="{FF2B5EF4-FFF2-40B4-BE49-F238E27FC236}">
                  <a16:creationId xmlns:a16="http://schemas.microsoft.com/office/drawing/2014/main" id="{C3C5F1DD-EBAB-44C0-A61D-416C611C7E62}"/>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19</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55" name="דיו 854">
              <a:extLst>
                <a:ext uri="{FF2B5EF4-FFF2-40B4-BE49-F238E27FC236}">
                  <a16:creationId xmlns:a16="http://schemas.microsoft.com/office/drawing/2014/main" id="{757A62B5-8942-4D39-9441-BF6A7B8A8874}"/>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20</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56" name="דיו 855">
              <a:extLst>
                <a:ext uri="{FF2B5EF4-FFF2-40B4-BE49-F238E27FC236}">
                  <a16:creationId xmlns:a16="http://schemas.microsoft.com/office/drawing/2014/main" id="{F59684AA-69E2-4C07-A43C-06E1EC51133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21</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57" name="דיו 856">
              <a:extLst>
                <a:ext uri="{FF2B5EF4-FFF2-40B4-BE49-F238E27FC236}">
                  <a16:creationId xmlns:a16="http://schemas.microsoft.com/office/drawing/2014/main" id="{963A9B59-6960-439C-8B28-DA7232C061C5}"/>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22</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58" name="דיו 857">
              <a:extLst>
                <a:ext uri="{FF2B5EF4-FFF2-40B4-BE49-F238E27FC236}">
                  <a16:creationId xmlns:a16="http://schemas.microsoft.com/office/drawing/2014/main" id="{AF709FA4-9617-48BB-A0AB-11350005A56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23</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59" name="דיו 858">
              <a:extLst>
                <a:ext uri="{FF2B5EF4-FFF2-40B4-BE49-F238E27FC236}">
                  <a16:creationId xmlns:a16="http://schemas.microsoft.com/office/drawing/2014/main" id="{14D6B3D9-6A88-4CD3-A080-48D0B344454D}"/>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24</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60" name="דיו 859">
              <a:extLst>
                <a:ext uri="{FF2B5EF4-FFF2-40B4-BE49-F238E27FC236}">
                  <a16:creationId xmlns:a16="http://schemas.microsoft.com/office/drawing/2014/main" id="{9A6E0319-3F43-4E55-B1B5-98C84071CEB8}"/>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25</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61" name="דיו 860">
              <a:extLst>
                <a:ext uri="{FF2B5EF4-FFF2-40B4-BE49-F238E27FC236}">
                  <a16:creationId xmlns:a16="http://schemas.microsoft.com/office/drawing/2014/main" id="{B748FD5A-17BE-4FA6-9FBA-5AAF7E46B3D1}"/>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oneCellAnchor>
    <xdr:from>
      <xdr:col>3</xdr:col>
      <xdr:colOff>891300</xdr:colOff>
      <xdr:row>26</xdr:row>
      <xdr:rowOff>586440</xdr:rowOff>
    </xdr:from>
    <xdr:ext cx="360" cy="2322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62" name="דיו 861">
              <a:extLst>
                <a:ext uri="{FF2B5EF4-FFF2-40B4-BE49-F238E27FC236}">
                  <a16:creationId xmlns:a16="http://schemas.microsoft.com/office/drawing/2014/main" id="{0CFB89D4-E42F-4E4B-B040-35DB2364125A}"/>
                </a:ext>
              </a:extLst>
            </xdr14:cNvPr>
            <xdr14:cNvContentPartPr/>
          </xdr14:nvContentPartPr>
          <xdr14:nvPr macro=""/>
          <xdr14:xfrm>
            <a:off x="10858073160" y="586440"/>
            <a:ext cx="360" cy="360"/>
          </xdr14:xfrm>
        </xdr:contentPart>
      </mc:Choice>
      <mc:Fallback xmlns="">
        <xdr:pic>
          <xdr:nvPicPr>
            <xdr:cNvPr id="5" name="דיו 4">
              <a:extLst>
                <a:ext uri="{FF2B5EF4-FFF2-40B4-BE49-F238E27FC236}">
                  <a16:creationId xmlns:a16="http://schemas.microsoft.com/office/drawing/2014/main" id="{5EFB150E-12AC-2982-2C63-5E807714D73C}"/>
                </a:ext>
              </a:extLst>
            </xdr:cNvPr>
            <xdr:cNvPicPr/>
          </xdr:nvPicPr>
          <xdr:blipFill>
            <a:blip xmlns:r="http://schemas.openxmlformats.org/officeDocument/2006/relationships" r:embed="rId5"/>
            <a:stretch>
              <a:fillRect/>
            </a:stretch>
          </xdr:blipFill>
          <xdr:spPr>
            <a:xfrm>
              <a:off x="10858064160" y="577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714936</xdr:colOff>
      <xdr:row>3</xdr:row>
      <xdr:rowOff>164993</xdr:rowOff>
    </xdr:from>
    <xdr:to>
      <xdr:col>8</xdr:col>
      <xdr:colOff>51996</xdr:colOff>
      <xdr:row>21</xdr:row>
      <xdr:rowOff>74601</xdr:rowOff>
    </xdr:to>
    <xdr:pic>
      <xdr:nvPicPr>
        <xdr:cNvPr id="2" name="תמונה 1">
          <a:extLst>
            <a:ext uri="{FF2B5EF4-FFF2-40B4-BE49-F238E27FC236}">
              <a16:creationId xmlns:a16="http://schemas.microsoft.com/office/drawing/2014/main" id="{A203F8F6-810E-4199-94D3-8D0600F84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162055698" y="1115252"/>
          <a:ext cx="7010849" cy="3737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274319</xdr:colOff>
      <xdr:row>38</xdr:row>
      <xdr:rowOff>76200</xdr:rowOff>
    </xdr:from>
    <xdr:to>
      <xdr:col>12</xdr:col>
      <xdr:colOff>160019</xdr:colOff>
      <xdr:row>47</xdr:row>
      <xdr:rowOff>38157</xdr:rowOff>
    </xdr:to>
    <xdr:pic>
      <xdr:nvPicPr>
        <xdr:cNvPr id="4" name="תמונה 3">
          <a:extLst>
            <a:ext uri="{FF2B5EF4-FFF2-40B4-BE49-F238E27FC236}">
              <a16:creationId xmlns:a16="http://schemas.microsoft.com/office/drawing/2014/main" id="{2DD1C9CE-2FD7-792C-1AB3-0733EE8E0DCD}"/>
            </a:ext>
          </a:extLst>
        </xdr:cNvPr>
        <xdr:cNvPicPr>
          <a:picLocks noChangeAspect="1"/>
        </xdr:cNvPicPr>
      </xdr:nvPicPr>
      <xdr:blipFill>
        <a:blip xmlns:r="http://schemas.openxmlformats.org/officeDocument/2006/relationships" r:embed="rId2"/>
        <a:stretch>
          <a:fillRect/>
        </a:stretch>
      </xdr:blipFill>
      <xdr:spPr>
        <a:xfrm>
          <a:off x="11104747921" y="7703820"/>
          <a:ext cx="9822180" cy="1539297"/>
        </a:xfrm>
        <a:prstGeom prst="rect">
          <a:avLst/>
        </a:prstGeom>
      </xdr:spPr>
    </xdr:pic>
    <xdr:clientData/>
  </xdr:twoCellAnchor>
  <xdr:twoCellAnchor editAs="oneCell">
    <xdr:from>
      <xdr:col>1</xdr:col>
      <xdr:colOff>907860</xdr:colOff>
      <xdr:row>11</xdr:row>
      <xdr:rowOff>45180</xdr:rowOff>
    </xdr:from>
    <xdr:to>
      <xdr:col>2</xdr:col>
      <xdr:colOff>769800</xdr:colOff>
      <xdr:row>11</xdr:row>
      <xdr:rowOff>99900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דיו 9">
              <a:extLst>
                <a:ext uri="{FF2B5EF4-FFF2-40B4-BE49-F238E27FC236}">
                  <a16:creationId xmlns:a16="http://schemas.microsoft.com/office/drawing/2014/main" id="{2E9B1B7D-0D02-3B64-B5CD-320A03171C4E}"/>
                </a:ext>
              </a:extLst>
            </xdr14:cNvPr>
            <xdr14:cNvContentPartPr/>
          </xdr14:nvContentPartPr>
          <xdr14:nvPr macro=""/>
          <xdr14:xfrm>
            <a:off x="11114867100" y="2582640"/>
            <a:ext cx="982080" cy="54720"/>
          </xdr14:xfrm>
        </xdr:contentPart>
      </mc:Choice>
      <mc:Fallback xmlns="">
        <xdr:pic>
          <xdr:nvPicPr>
            <xdr:cNvPr id="10" name="דיו 9">
              <a:extLst>
                <a:ext uri="{FF2B5EF4-FFF2-40B4-BE49-F238E27FC236}">
                  <a16:creationId xmlns:a16="http://schemas.microsoft.com/office/drawing/2014/main" id="{2E9B1B7D-0D02-3B64-B5CD-320A03171C4E}"/>
                </a:ext>
              </a:extLst>
            </xdr:cNvPr>
            <xdr:cNvPicPr/>
          </xdr:nvPicPr>
          <xdr:blipFill>
            <a:blip xmlns:r="http://schemas.openxmlformats.org/officeDocument/2006/relationships" r:embed="rId4"/>
            <a:stretch>
              <a:fillRect/>
            </a:stretch>
          </xdr:blipFill>
          <xdr:spPr>
            <a:xfrm>
              <a:off x="11114813460" y="2475000"/>
              <a:ext cx="1089720" cy="270360"/>
            </a:xfrm>
            <a:prstGeom prst="rect">
              <a:avLst/>
            </a:prstGeom>
          </xdr:spPr>
        </xdr:pic>
      </mc:Fallback>
    </mc:AlternateContent>
    <xdr:clientData/>
  </xdr:twoCellAnchor>
  <xdr:twoCellAnchor editAs="oneCell">
    <xdr:from>
      <xdr:col>1</xdr:col>
      <xdr:colOff>1073820</xdr:colOff>
      <xdr:row>11</xdr:row>
      <xdr:rowOff>106380</xdr:rowOff>
    </xdr:from>
    <xdr:to>
      <xdr:col>3</xdr:col>
      <xdr:colOff>7560</xdr:colOff>
      <xdr:row>11</xdr:row>
      <xdr:rowOff>169380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3" name="דיו 12">
              <a:extLst>
                <a:ext uri="{FF2B5EF4-FFF2-40B4-BE49-F238E27FC236}">
                  <a16:creationId xmlns:a16="http://schemas.microsoft.com/office/drawing/2014/main" id="{3BDBEA19-ECCF-6B83-0EC7-7C27E6394F32}"/>
                </a:ext>
              </a:extLst>
            </xdr14:cNvPr>
            <xdr14:cNvContentPartPr/>
          </xdr14:nvContentPartPr>
          <xdr14:nvPr macro=""/>
          <xdr14:xfrm>
            <a:off x="11114836860" y="2643840"/>
            <a:ext cx="846360" cy="63000"/>
          </xdr14:xfrm>
        </xdr:contentPart>
      </mc:Choice>
      <mc:Fallback xmlns="">
        <xdr:pic>
          <xdr:nvPicPr>
            <xdr:cNvPr id="13" name="דיו 12">
              <a:extLst>
                <a:ext uri="{FF2B5EF4-FFF2-40B4-BE49-F238E27FC236}">
                  <a16:creationId xmlns:a16="http://schemas.microsoft.com/office/drawing/2014/main" id="{3BDBEA19-ECCF-6B83-0EC7-7C27E6394F32}"/>
                </a:ext>
              </a:extLst>
            </xdr:cNvPr>
            <xdr:cNvPicPr/>
          </xdr:nvPicPr>
          <xdr:blipFill>
            <a:blip xmlns:r="http://schemas.openxmlformats.org/officeDocument/2006/relationships" r:embed="rId8"/>
            <a:stretch>
              <a:fillRect/>
            </a:stretch>
          </xdr:blipFill>
          <xdr:spPr>
            <a:xfrm>
              <a:off x="11114782860" y="2536200"/>
              <a:ext cx="954000" cy="278640"/>
            </a:xfrm>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6</xdr:col>
      <xdr:colOff>304800</xdr:colOff>
      <xdr:row>11</xdr:row>
      <xdr:rowOff>114300</xdr:rowOff>
    </xdr:to>
    <xdr:sp macro="" textlink="">
      <xdr:nvSpPr>
        <xdr:cNvPr id="2" name="AutoShape 1" descr="https://registries.health.gov.il/assets/icons/valid.svg">
          <a:extLst>
            <a:ext uri="{FF2B5EF4-FFF2-40B4-BE49-F238E27FC236}">
              <a16:creationId xmlns:a16="http://schemas.microsoft.com/office/drawing/2014/main" id="{6D6E28DD-E1C5-44A1-A78C-8507A49965D5}"/>
            </a:ext>
          </a:extLst>
        </xdr:cNvPr>
        <xdr:cNvSpPr>
          <a:spLocks noChangeAspect="1" noChangeArrowheads="1"/>
        </xdr:cNvSpPr>
      </xdr:nvSpPr>
      <xdr:spPr bwMode="auto">
        <a:xfrm>
          <a:off x="1098600546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xdr:row>
      <xdr:rowOff>0</xdr:rowOff>
    </xdr:from>
    <xdr:to>
      <xdr:col>6</xdr:col>
      <xdr:colOff>304800</xdr:colOff>
      <xdr:row>34</xdr:row>
      <xdr:rowOff>114300</xdr:rowOff>
    </xdr:to>
    <xdr:sp macro="" textlink="">
      <xdr:nvSpPr>
        <xdr:cNvPr id="3" name="AutoShape 2" descr="https://registries.health.gov.il/assets/icons/valid.svg">
          <a:extLst>
            <a:ext uri="{FF2B5EF4-FFF2-40B4-BE49-F238E27FC236}">
              <a16:creationId xmlns:a16="http://schemas.microsoft.com/office/drawing/2014/main" id="{ACC39D35-31C1-4226-A0AF-661FB2410DF0}"/>
            </a:ext>
          </a:extLst>
        </xdr:cNvPr>
        <xdr:cNvSpPr>
          <a:spLocks noChangeAspect="1" noChangeArrowheads="1"/>
        </xdr:cNvSpPr>
      </xdr:nvSpPr>
      <xdr:spPr bwMode="auto">
        <a:xfrm>
          <a:off x="10986005460" y="60655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44</xdr:row>
      <xdr:rowOff>0</xdr:rowOff>
    </xdr:from>
    <xdr:to>
      <xdr:col>6</xdr:col>
      <xdr:colOff>304800</xdr:colOff>
      <xdr:row>45</xdr:row>
      <xdr:rowOff>114300</xdr:rowOff>
    </xdr:to>
    <xdr:sp macro="" textlink="">
      <xdr:nvSpPr>
        <xdr:cNvPr id="4" name="AutoShape 3" descr="https://registries.health.gov.il/assets/icons/valid.svg">
          <a:extLst>
            <a:ext uri="{FF2B5EF4-FFF2-40B4-BE49-F238E27FC236}">
              <a16:creationId xmlns:a16="http://schemas.microsoft.com/office/drawing/2014/main" id="{1406F63E-628C-4D48-96F3-E8216CDD001D}"/>
            </a:ext>
          </a:extLst>
        </xdr:cNvPr>
        <xdr:cNvSpPr>
          <a:spLocks noChangeAspect="1" noChangeArrowheads="1"/>
        </xdr:cNvSpPr>
      </xdr:nvSpPr>
      <xdr:spPr bwMode="auto">
        <a:xfrm>
          <a:off x="10986005460" y="7993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55</xdr:row>
      <xdr:rowOff>0</xdr:rowOff>
    </xdr:from>
    <xdr:to>
      <xdr:col>6</xdr:col>
      <xdr:colOff>304800</xdr:colOff>
      <xdr:row>56</xdr:row>
      <xdr:rowOff>114300</xdr:rowOff>
    </xdr:to>
    <xdr:sp macro="" textlink="">
      <xdr:nvSpPr>
        <xdr:cNvPr id="5" name="AutoShape 4" descr="https://registries.health.gov.il/assets/icons/valid.svg">
          <a:extLst>
            <a:ext uri="{FF2B5EF4-FFF2-40B4-BE49-F238E27FC236}">
              <a16:creationId xmlns:a16="http://schemas.microsoft.com/office/drawing/2014/main" id="{F79CB5F3-63F8-4193-A866-5BC0DE69349B}"/>
            </a:ext>
          </a:extLst>
        </xdr:cNvPr>
        <xdr:cNvSpPr>
          <a:spLocks noChangeAspect="1" noChangeArrowheads="1"/>
        </xdr:cNvSpPr>
      </xdr:nvSpPr>
      <xdr:spPr bwMode="auto">
        <a:xfrm>
          <a:off x="10986005460" y="99212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70</xdr:row>
      <xdr:rowOff>0</xdr:rowOff>
    </xdr:from>
    <xdr:to>
      <xdr:col>6</xdr:col>
      <xdr:colOff>304800</xdr:colOff>
      <xdr:row>71</xdr:row>
      <xdr:rowOff>114300</xdr:rowOff>
    </xdr:to>
    <xdr:sp macro="" textlink="">
      <xdr:nvSpPr>
        <xdr:cNvPr id="6" name="AutoShape 5" descr="https://registries.health.gov.il/assets/icons/valid.svg">
          <a:extLst>
            <a:ext uri="{FF2B5EF4-FFF2-40B4-BE49-F238E27FC236}">
              <a16:creationId xmlns:a16="http://schemas.microsoft.com/office/drawing/2014/main" id="{299B8B6D-C6DF-4DDB-91CD-2CF61EBAC29E}"/>
            </a:ext>
          </a:extLst>
        </xdr:cNvPr>
        <xdr:cNvSpPr>
          <a:spLocks noChangeAspect="1" noChangeArrowheads="1"/>
        </xdr:cNvSpPr>
      </xdr:nvSpPr>
      <xdr:spPr bwMode="auto">
        <a:xfrm>
          <a:off x="10986005460" y="12565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89</xdr:row>
      <xdr:rowOff>0</xdr:rowOff>
    </xdr:from>
    <xdr:to>
      <xdr:col>6</xdr:col>
      <xdr:colOff>304800</xdr:colOff>
      <xdr:row>90</xdr:row>
      <xdr:rowOff>114300</xdr:rowOff>
    </xdr:to>
    <xdr:sp macro="" textlink="">
      <xdr:nvSpPr>
        <xdr:cNvPr id="7" name="AutoShape 6" descr="https://registries.health.gov.il/assets/icons/valid.svg">
          <a:extLst>
            <a:ext uri="{FF2B5EF4-FFF2-40B4-BE49-F238E27FC236}">
              <a16:creationId xmlns:a16="http://schemas.microsoft.com/office/drawing/2014/main" id="{977BBD34-4578-4553-A79F-D03C55F727AC}"/>
            </a:ext>
          </a:extLst>
        </xdr:cNvPr>
        <xdr:cNvSpPr>
          <a:spLocks noChangeAspect="1" noChangeArrowheads="1"/>
        </xdr:cNvSpPr>
      </xdr:nvSpPr>
      <xdr:spPr bwMode="auto">
        <a:xfrm>
          <a:off x="10986005460" y="15895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108</xdr:row>
      <xdr:rowOff>0</xdr:rowOff>
    </xdr:from>
    <xdr:to>
      <xdr:col>6</xdr:col>
      <xdr:colOff>304800</xdr:colOff>
      <xdr:row>109</xdr:row>
      <xdr:rowOff>114300</xdr:rowOff>
    </xdr:to>
    <xdr:sp macro="" textlink="">
      <xdr:nvSpPr>
        <xdr:cNvPr id="8" name="AutoShape 7" descr="https://registries.health.gov.il/assets/icons/valid.svg">
          <a:extLst>
            <a:ext uri="{FF2B5EF4-FFF2-40B4-BE49-F238E27FC236}">
              <a16:creationId xmlns:a16="http://schemas.microsoft.com/office/drawing/2014/main" id="{B96085FD-D31A-4B54-86D0-E2454F62A923}"/>
            </a:ext>
          </a:extLst>
        </xdr:cNvPr>
        <xdr:cNvSpPr>
          <a:spLocks noChangeAspect="1" noChangeArrowheads="1"/>
        </xdr:cNvSpPr>
      </xdr:nvSpPr>
      <xdr:spPr bwMode="auto">
        <a:xfrm>
          <a:off x="10986005460" y="192252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119</xdr:row>
      <xdr:rowOff>0</xdr:rowOff>
    </xdr:from>
    <xdr:to>
      <xdr:col>6</xdr:col>
      <xdr:colOff>304800</xdr:colOff>
      <xdr:row>120</xdr:row>
      <xdr:rowOff>114300</xdr:rowOff>
    </xdr:to>
    <xdr:sp macro="" textlink="">
      <xdr:nvSpPr>
        <xdr:cNvPr id="9" name="AutoShape 8" descr="https://registries.health.gov.il/assets/icons/valid.svg">
          <a:extLst>
            <a:ext uri="{FF2B5EF4-FFF2-40B4-BE49-F238E27FC236}">
              <a16:creationId xmlns:a16="http://schemas.microsoft.com/office/drawing/2014/main" id="{CAEB9989-709B-40FE-8849-9A8BF4CE5955}"/>
            </a:ext>
          </a:extLst>
        </xdr:cNvPr>
        <xdr:cNvSpPr>
          <a:spLocks noChangeAspect="1" noChangeArrowheads="1"/>
        </xdr:cNvSpPr>
      </xdr:nvSpPr>
      <xdr:spPr bwMode="auto">
        <a:xfrm>
          <a:off x="10986005460" y="21153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138</xdr:row>
      <xdr:rowOff>0</xdr:rowOff>
    </xdr:from>
    <xdr:to>
      <xdr:col>6</xdr:col>
      <xdr:colOff>304800</xdr:colOff>
      <xdr:row>139</xdr:row>
      <xdr:rowOff>114300</xdr:rowOff>
    </xdr:to>
    <xdr:sp macro="" textlink="">
      <xdr:nvSpPr>
        <xdr:cNvPr id="10" name="AutoShape 9" descr="https://registries.health.gov.il/assets/icons/valid.svg">
          <a:extLst>
            <a:ext uri="{FF2B5EF4-FFF2-40B4-BE49-F238E27FC236}">
              <a16:creationId xmlns:a16="http://schemas.microsoft.com/office/drawing/2014/main" id="{92CE38B5-AD96-4B33-97FB-BDCD407A22C1}"/>
            </a:ext>
          </a:extLst>
        </xdr:cNvPr>
        <xdr:cNvSpPr>
          <a:spLocks noChangeAspect="1" noChangeArrowheads="1"/>
        </xdr:cNvSpPr>
      </xdr:nvSpPr>
      <xdr:spPr bwMode="auto">
        <a:xfrm>
          <a:off x="10986005460" y="244830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157</xdr:row>
      <xdr:rowOff>0</xdr:rowOff>
    </xdr:from>
    <xdr:to>
      <xdr:col>6</xdr:col>
      <xdr:colOff>304800</xdr:colOff>
      <xdr:row>158</xdr:row>
      <xdr:rowOff>114300</xdr:rowOff>
    </xdr:to>
    <xdr:sp macro="" textlink="">
      <xdr:nvSpPr>
        <xdr:cNvPr id="11" name="AutoShape 10" descr="https://registries.health.gov.il/assets/icons/valid.svg">
          <a:extLst>
            <a:ext uri="{FF2B5EF4-FFF2-40B4-BE49-F238E27FC236}">
              <a16:creationId xmlns:a16="http://schemas.microsoft.com/office/drawing/2014/main" id="{61C60318-CE16-4B2D-82BA-7BC0539F50AF}"/>
            </a:ext>
          </a:extLst>
        </xdr:cNvPr>
        <xdr:cNvSpPr>
          <a:spLocks noChangeAspect="1" noChangeArrowheads="1"/>
        </xdr:cNvSpPr>
      </xdr:nvSpPr>
      <xdr:spPr bwMode="auto">
        <a:xfrm>
          <a:off x="10986005460" y="278130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168</xdr:row>
      <xdr:rowOff>0</xdr:rowOff>
    </xdr:from>
    <xdr:to>
      <xdr:col>6</xdr:col>
      <xdr:colOff>304800</xdr:colOff>
      <xdr:row>169</xdr:row>
      <xdr:rowOff>114300</xdr:rowOff>
    </xdr:to>
    <xdr:sp macro="" textlink="">
      <xdr:nvSpPr>
        <xdr:cNvPr id="12" name="AutoShape 11" descr="https://registries.health.gov.il/assets/icons/valid.svg">
          <a:extLst>
            <a:ext uri="{FF2B5EF4-FFF2-40B4-BE49-F238E27FC236}">
              <a16:creationId xmlns:a16="http://schemas.microsoft.com/office/drawing/2014/main" id="{617B1F3E-FD1C-4B4F-9CDB-FC3D4AA3819E}"/>
            </a:ext>
          </a:extLst>
        </xdr:cNvPr>
        <xdr:cNvSpPr>
          <a:spLocks noChangeAspect="1" noChangeArrowheads="1"/>
        </xdr:cNvSpPr>
      </xdr:nvSpPr>
      <xdr:spPr bwMode="auto">
        <a:xfrm>
          <a:off x="10986005460" y="297408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187</xdr:row>
      <xdr:rowOff>0</xdr:rowOff>
    </xdr:from>
    <xdr:to>
      <xdr:col>6</xdr:col>
      <xdr:colOff>304800</xdr:colOff>
      <xdr:row>188</xdr:row>
      <xdr:rowOff>114300</xdr:rowOff>
    </xdr:to>
    <xdr:sp macro="" textlink="">
      <xdr:nvSpPr>
        <xdr:cNvPr id="13" name="AutoShape 12" descr="https://registries.health.gov.il/assets/icons/valid.svg">
          <a:extLst>
            <a:ext uri="{FF2B5EF4-FFF2-40B4-BE49-F238E27FC236}">
              <a16:creationId xmlns:a16="http://schemas.microsoft.com/office/drawing/2014/main" id="{8E8F7C79-E92E-4566-BF37-3530D916A4C7}"/>
            </a:ext>
          </a:extLst>
        </xdr:cNvPr>
        <xdr:cNvSpPr>
          <a:spLocks noChangeAspect="1" noChangeArrowheads="1"/>
        </xdr:cNvSpPr>
      </xdr:nvSpPr>
      <xdr:spPr bwMode="auto">
        <a:xfrm>
          <a:off x="10986005460" y="33070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206</xdr:row>
      <xdr:rowOff>0</xdr:rowOff>
    </xdr:from>
    <xdr:to>
      <xdr:col>6</xdr:col>
      <xdr:colOff>304800</xdr:colOff>
      <xdr:row>207</xdr:row>
      <xdr:rowOff>114300</xdr:rowOff>
    </xdr:to>
    <xdr:sp macro="" textlink="">
      <xdr:nvSpPr>
        <xdr:cNvPr id="14" name="AutoShape 13" descr="https://registries.health.gov.il/assets/icons/valid.svg">
          <a:extLst>
            <a:ext uri="{FF2B5EF4-FFF2-40B4-BE49-F238E27FC236}">
              <a16:creationId xmlns:a16="http://schemas.microsoft.com/office/drawing/2014/main" id="{F1942F12-A328-4DDC-B434-83F2BDB83E94}"/>
            </a:ext>
          </a:extLst>
        </xdr:cNvPr>
        <xdr:cNvSpPr>
          <a:spLocks noChangeAspect="1" noChangeArrowheads="1"/>
        </xdr:cNvSpPr>
      </xdr:nvSpPr>
      <xdr:spPr bwMode="auto">
        <a:xfrm>
          <a:off x="10986005460" y="36400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217</xdr:row>
      <xdr:rowOff>0</xdr:rowOff>
    </xdr:from>
    <xdr:to>
      <xdr:col>6</xdr:col>
      <xdr:colOff>304800</xdr:colOff>
      <xdr:row>218</xdr:row>
      <xdr:rowOff>114300</xdr:rowOff>
    </xdr:to>
    <xdr:sp macro="" textlink="">
      <xdr:nvSpPr>
        <xdr:cNvPr id="15" name="AutoShape 14" descr="https://registries.health.gov.il/assets/icons/valid.svg">
          <a:extLst>
            <a:ext uri="{FF2B5EF4-FFF2-40B4-BE49-F238E27FC236}">
              <a16:creationId xmlns:a16="http://schemas.microsoft.com/office/drawing/2014/main" id="{A7AB1A39-4240-4590-9D94-440056FF69AC}"/>
            </a:ext>
          </a:extLst>
        </xdr:cNvPr>
        <xdr:cNvSpPr>
          <a:spLocks noChangeAspect="1" noChangeArrowheads="1"/>
        </xdr:cNvSpPr>
      </xdr:nvSpPr>
      <xdr:spPr bwMode="auto">
        <a:xfrm>
          <a:off x="10986005460" y="38328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236</xdr:row>
      <xdr:rowOff>0</xdr:rowOff>
    </xdr:from>
    <xdr:to>
      <xdr:col>6</xdr:col>
      <xdr:colOff>304800</xdr:colOff>
      <xdr:row>237</xdr:row>
      <xdr:rowOff>114300</xdr:rowOff>
    </xdr:to>
    <xdr:sp macro="" textlink="">
      <xdr:nvSpPr>
        <xdr:cNvPr id="16" name="AutoShape 15" descr="https://registries.health.gov.il/assets/icons/valid.svg">
          <a:extLst>
            <a:ext uri="{FF2B5EF4-FFF2-40B4-BE49-F238E27FC236}">
              <a16:creationId xmlns:a16="http://schemas.microsoft.com/office/drawing/2014/main" id="{1855CE07-98CD-4BE6-924C-C9F71F9FD57F}"/>
            </a:ext>
          </a:extLst>
        </xdr:cNvPr>
        <xdr:cNvSpPr>
          <a:spLocks noChangeAspect="1" noChangeArrowheads="1"/>
        </xdr:cNvSpPr>
      </xdr:nvSpPr>
      <xdr:spPr bwMode="auto">
        <a:xfrm>
          <a:off x="10986005460" y="41658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255</xdr:row>
      <xdr:rowOff>0</xdr:rowOff>
    </xdr:from>
    <xdr:to>
      <xdr:col>6</xdr:col>
      <xdr:colOff>304800</xdr:colOff>
      <xdr:row>256</xdr:row>
      <xdr:rowOff>114300</xdr:rowOff>
    </xdr:to>
    <xdr:sp macro="" textlink="">
      <xdr:nvSpPr>
        <xdr:cNvPr id="17" name="AutoShape 16" descr="https://registries.health.gov.il/assets/icons/valid_partial.svg">
          <a:extLst>
            <a:ext uri="{FF2B5EF4-FFF2-40B4-BE49-F238E27FC236}">
              <a16:creationId xmlns:a16="http://schemas.microsoft.com/office/drawing/2014/main" id="{94C90650-DE23-47FB-BBE5-014770EFB00C}"/>
            </a:ext>
          </a:extLst>
        </xdr:cNvPr>
        <xdr:cNvSpPr>
          <a:spLocks noChangeAspect="1" noChangeArrowheads="1"/>
        </xdr:cNvSpPr>
      </xdr:nvSpPr>
      <xdr:spPr bwMode="auto">
        <a:xfrm>
          <a:off x="10986005460" y="44988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270</xdr:row>
      <xdr:rowOff>0</xdr:rowOff>
    </xdr:from>
    <xdr:to>
      <xdr:col>6</xdr:col>
      <xdr:colOff>304800</xdr:colOff>
      <xdr:row>271</xdr:row>
      <xdr:rowOff>114300</xdr:rowOff>
    </xdr:to>
    <xdr:sp macro="" textlink="">
      <xdr:nvSpPr>
        <xdr:cNvPr id="18" name="AutoShape 17" descr="https://registries.health.gov.il/assets/icons/valid.svg">
          <a:extLst>
            <a:ext uri="{FF2B5EF4-FFF2-40B4-BE49-F238E27FC236}">
              <a16:creationId xmlns:a16="http://schemas.microsoft.com/office/drawing/2014/main" id="{A0912135-672D-4932-92F4-22305B0493B9}"/>
            </a:ext>
          </a:extLst>
        </xdr:cNvPr>
        <xdr:cNvSpPr>
          <a:spLocks noChangeAspect="1" noChangeArrowheads="1"/>
        </xdr:cNvSpPr>
      </xdr:nvSpPr>
      <xdr:spPr bwMode="auto">
        <a:xfrm>
          <a:off x="10986005460" y="47617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289</xdr:row>
      <xdr:rowOff>0</xdr:rowOff>
    </xdr:from>
    <xdr:to>
      <xdr:col>6</xdr:col>
      <xdr:colOff>304800</xdr:colOff>
      <xdr:row>290</xdr:row>
      <xdr:rowOff>114300</xdr:rowOff>
    </xdr:to>
    <xdr:sp macro="" textlink="">
      <xdr:nvSpPr>
        <xdr:cNvPr id="19" name="AutoShape 18" descr="https://registries.health.gov.il/assets/icons/valid.svg">
          <a:extLst>
            <a:ext uri="{FF2B5EF4-FFF2-40B4-BE49-F238E27FC236}">
              <a16:creationId xmlns:a16="http://schemas.microsoft.com/office/drawing/2014/main" id="{8075EAFE-50A7-4844-A0BD-E1FACFD3A2D9}"/>
            </a:ext>
          </a:extLst>
        </xdr:cNvPr>
        <xdr:cNvSpPr>
          <a:spLocks noChangeAspect="1" noChangeArrowheads="1"/>
        </xdr:cNvSpPr>
      </xdr:nvSpPr>
      <xdr:spPr bwMode="auto">
        <a:xfrm>
          <a:off x="10986005460" y="50947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300</xdr:row>
      <xdr:rowOff>0</xdr:rowOff>
    </xdr:from>
    <xdr:to>
      <xdr:col>6</xdr:col>
      <xdr:colOff>304800</xdr:colOff>
      <xdr:row>301</xdr:row>
      <xdr:rowOff>114300</xdr:rowOff>
    </xdr:to>
    <xdr:sp macro="" textlink="">
      <xdr:nvSpPr>
        <xdr:cNvPr id="20" name="AutoShape 19" descr="https://registries.health.gov.il/assets/icons/valid.svg">
          <a:extLst>
            <a:ext uri="{FF2B5EF4-FFF2-40B4-BE49-F238E27FC236}">
              <a16:creationId xmlns:a16="http://schemas.microsoft.com/office/drawing/2014/main" id="{1284A866-1BE3-478D-8D97-51F520EF9BC0}"/>
            </a:ext>
          </a:extLst>
        </xdr:cNvPr>
        <xdr:cNvSpPr>
          <a:spLocks noChangeAspect="1" noChangeArrowheads="1"/>
        </xdr:cNvSpPr>
      </xdr:nvSpPr>
      <xdr:spPr bwMode="auto">
        <a:xfrm>
          <a:off x="10986005460" y="528751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319</xdr:row>
      <xdr:rowOff>0</xdr:rowOff>
    </xdr:from>
    <xdr:to>
      <xdr:col>6</xdr:col>
      <xdr:colOff>304800</xdr:colOff>
      <xdr:row>320</xdr:row>
      <xdr:rowOff>114300</xdr:rowOff>
    </xdr:to>
    <xdr:sp macro="" textlink="">
      <xdr:nvSpPr>
        <xdr:cNvPr id="21" name="AutoShape 20" descr="https://registries.health.gov.il/assets/icons/valid.svg">
          <a:extLst>
            <a:ext uri="{FF2B5EF4-FFF2-40B4-BE49-F238E27FC236}">
              <a16:creationId xmlns:a16="http://schemas.microsoft.com/office/drawing/2014/main" id="{60F1BD8A-D786-4C02-831C-8A0A1373D6B6}"/>
            </a:ext>
          </a:extLst>
        </xdr:cNvPr>
        <xdr:cNvSpPr>
          <a:spLocks noChangeAspect="1" noChangeArrowheads="1"/>
        </xdr:cNvSpPr>
      </xdr:nvSpPr>
      <xdr:spPr bwMode="auto">
        <a:xfrm>
          <a:off x="10986005460" y="56205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xdr:row>
      <xdr:rowOff>0</xdr:rowOff>
    </xdr:from>
    <xdr:to>
      <xdr:col>8</xdr:col>
      <xdr:colOff>304800</xdr:colOff>
      <xdr:row>11</xdr:row>
      <xdr:rowOff>114300</xdr:rowOff>
    </xdr:to>
    <xdr:sp macro="" textlink="">
      <xdr:nvSpPr>
        <xdr:cNvPr id="22" name="AutoShape 21" descr="https://registries.health.gov.il/assets/icons/valid.svg">
          <a:extLst>
            <a:ext uri="{FF2B5EF4-FFF2-40B4-BE49-F238E27FC236}">
              <a16:creationId xmlns:a16="http://schemas.microsoft.com/office/drawing/2014/main" id="{C8A2EF37-01B8-4E21-BFC2-C67B7B6A975C}"/>
            </a:ext>
          </a:extLst>
        </xdr:cNvPr>
        <xdr:cNvSpPr>
          <a:spLocks noChangeAspect="1" noChangeArrowheads="1"/>
        </xdr:cNvSpPr>
      </xdr:nvSpPr>
      <xdr:spPr bwMode="auto">
        <a:xfrm>
          <a:off x="1098422238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xdr:row>
      <xdr:rowOff>0</xdr:rowOff>
    </xdr:from>
    <xdr:to>
      <xdr:col>8</xdr:col>
      <xdr:colOff>304800</xdr:colOff>
      <xdr:row>30</xdr:row>
      <xdr:rowOff>114300</xdr:rowOff>
    </xdr:to>
    <xdr:sp macro="" textlink="">
      <xdr:nvSpPr>
        <xdr:cNvPr id="23" name="AutoShape 22" descr="https://registries.health.gov.il/assets/icons/valid.svg">
          <a:extLst>
            <a:ext uri="{FF2B5EF4-FFF2-40B4-BE49-F238E27FC236}">
              <a16:creationId xmlns:a16="http://schemas.microsoft.com/office/drawing/2014/main" id="{C3906DCB-982E-4868-8D9B-1F2B7DCD3CE2}"/>
            </a:ext>
          </a:extLst>
        </xdr:cNvPr>
        <xdr:cNvSpPr>
          <a:spLocks noChangeAspect="1" noChangeArrowheads="1"/>
        </xdr:cNvSpPr>
      </xdr:nvSpPr>
      <xdr:spPr bwMode="auto">
        <a:xfrm>
          <a:off x="10984222380" y="5364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48</xdr:row>
      <xdr:rowOff>0</xdr:rowOff>
    </xdr:from>
    <xdr:to>
      <xdr:col>8</xdr:col>
      <xdr:colOff>304800</xdr:colOff>
      <xdr:row>49</xdr:row>
      <xdr:rowOff>114300</xdr:rowOff>
    </xdr:to>
    <xdr:sp macro="" textlink="">
      <xdr:nvSpPr>
        <xdr:cNvPr id="24" name="AutoShape 23" descr="https://registries.health.gov.il/assets/icons/valid.svg">
          <a:extLst>
            <a:ext uri="{FF2B5EF4-FFF2-40B4-BE49-F238E27FC236}">
              <a16:creationId xmlns:a16="http://schemas.microsoft.com/office/drawing/2014/main" id="{AFA6D664-6D7E-4812-9D72-EFB430D46D83}"/>
            </a:ext>
          </a:extLst>
        </xdr:cNvPr>
        <xdr:cNvSpPr>
          <a:spLocks noChangeAspect="1" noChangeArrowheads="1"/>
        </xdr:cNvSpPr>
      </xdr:nvSpPr>
      <xdr:spPr bwMode="auto">
        <a:xfrm>
          <a:off x="10984222380" y="8694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67</xdr:row>
      <xdr:rowOff>0</xdr:rowOff>
    </xdr:from>
    <xdr:to>
      <xdr:col>8</xdr:col>
      <xdr:colOff>304800</xdr:colOff>
      <xdr:row>68</xdr:row>
      <xdr:rowOff>114300</xdr:rowOff>
    </xdr:to>
    <xdr:sp macro="" textlink="">
      <xdr:nvSpPr>
        <xdr:cNvPr id="25" name="AutoShape 24" descr="https://registries.health.gov.il/assets/icons/valid.svg">
          <a:extLst>
            <a:ext uri="{FF2B5EF4-FFF2-40B4-BE49-F238E27FC236}">
              <a16:creationId xmlns:a16="http://schemas.microsoft.com/office/drawing/2014/main" id="{567B4A98-C388-4C6D-8A5B-9C1772A3C045}"/>
            </a:ext>
          </a:extLst>
        </xdr:cNvPr>
        <xdr:cNvSpPr>
          <a:spLocks noChangeAspect="1" noChangeArrowheads="1"/>
        </xdr:cNvSpPr>
      </xdr:nvSpPr>
      <xdr:spPr bwMode="auto">
        <a:xfrm>
          <a:off x="10984222380" y="12039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86</xdr:row>
      <xdr:rowOff>0</xdr:rowOff>
    </xdr:from>
    <xdr:to>
      <xdr:col>8</xdr:col>
      <xdr:colOff>304800</xdr:colOff>
      <xdr:row>87</xdr:row>
      <xdr:rowOff>114300</xdr:rowOff>
    </xdr:to>
    <xdr:sp macro="" textlink="">
      <xdr:nvSpPr>
        <xdr:cNvPr id="26" name="AutoShape 25" descr="https://registries.health.gov.il/assets/icons/valid.svg">
          <a:extLst>
            <a:ext uri="{FF2B5EF4-FFF2-40B4-BE49-F238E27FC236}">
              <a16:creationId xmlns:a16="http://schemas.microsoft.com/office/drawing/2014/main" id="{24D85AB1-6672-45BB-A819-11DA6C859B95}"/>
            </a:ext>
          </a:extLst>
        </xdr:cNvPr>
        <xdr:cNvSpPr>
          <a:spLocks noChangeAspect="1" noChangeArrowheads="1"/>
        </xdr:cNvSpPr>
      </xdr:nvSpPr>
      <xdr:spPr bwMode="auto">
        <a:xfrm>
          <a:off x="10984222380" y="15369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105</xdr:row>
      <xdr:rowOff>0</xdr:rowOff>
    </xdr:from>
    <xdr:to>
      <xdr:col>8</xdr:col>
      <xdr:colOff>304800</xdr:colOff>
      <xdr:row>106</xdr:row>
      <xdr:rowOff>114300</xdr:rowOff>
    </xdr:to>
    <xdr:sp macro="" textlink="">
      <xdr:nvSpPr>
        <xdr:cNvPr id="27" name="AutoShape 26" descr="https://registries.health.gov.il/assets/icons/valid.svg">
          <a:extLst>
            <a:ext uri="{FF2B5EF4-FFF2-40B4-BE49-F238E27FC236}">
              <a16:creationId xmlns:a16="http://schemas.microsoft.com/office/drawing/2014/main" id="{EFCB6B0F-A9C0-499B-9752-D133D7E9BCC7}"/>
            </a:ext>
          </a:extLst>
        </xdr:cNvPr>
        <xdr:cNvSpPr>
          <a:spLocks noChangeAspect="1" noChangeArrowheads="1"/>
        </xdr:cNvSpPr>
      </xdr:nvSpPr>
      <xdr:spPr bwMode="auto">
        <a:xfrm>
          <a:off x="10984222380" y="18699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xdr:row>
      <xdr:rowOff>0</xdr:rowOff>
    </xdr:from>
    <xdr:to>
      <xdr:col>8</xdr:col>
      <xdr:colOff>304800</xdr:colOff>
      <xdr:row>28</xdr:row>
      <xdr:rowOff>114300</xdr:rowOff>
    </xdr:to>
    <xdr:sp macro="" textlink="">
      <xdr:nvSpPr>
        <xdr:cNvPr id="28" name="AutoShape 33" descr="https://registries.health.gov.il/assets/icons/valid.svg">
          <a:extLst>
            <a:ext uri="{FF2B5EF4-FFF2-40B4-BE49-F238E27FC236}">
              <a16:creationId xmlns:a16="http://schemas.microsoft.com/office/drawing/2014/main" id="{3B1993F1-8381-4E17-9F0C-9345F0696C8E}"/>
            </a:ext>
          </a:extLst>
        </xdr:cNvPr>
        <xdr:cNvSpPr>
          <a:spLocks noChangeAspect="1" noChangeArrowheads="1"/>
        </xdr:cNvSpPr>
      </xdr:nvSpPr>
      <xdr:spPr bwMode="auto">
        <a:xfrm>
          <a:off x="10984222380" y="5013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50</xdr:row>
      <xdr:rowOff>0</xdr:rowOff>
    </xdr:from>
    <xdr:to>
      <xdr:col>8</xdr:col>
      <xdr:colOff>304800</xdr:colOff>
      <xdr:row>51</xdr:row>
      <xdr:rowOff>114300</xdr:rowOff>
    </xdr:to>
    <xdr:sp macro="" textlink="">
      <xdr:nvSpPr>
        <xdr:cNvPr id="29" name="AutoShape 34" descr="https://registries.health.gov.il/assets/icons/valid.svg">
          <a:extLst>
            <a:ext uri="{FF2B5EF4-FFF2-40B4-BE49-F238E27FC236}">
              <a16:creationId xmlns:a16="http://schemas.microsoft.com/office/drawing/2014/main" id="{4F6655CD-7F45-4369-97F3-A0A9F56B94D1}"/>
            </a:ext>
          </a:extLst>
        </xdr:cNvPr>
        <xdr:cNvSpPr>
          <a:spLocks noChangeAspect="1" noChangeArrowheads="1"/>
        </xdr:cNvSpPr>
      </xdr:nvSpPr>
      <xdr:spPr bwMode="auto">
        <a:xfrm>
          <a:off x="10984222380" y="90449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61</xdr:row>
      <xdr:rowOff>0</xdr:rowOff>
    </xdr:from>
    <xdr:to>
      <xdr:col>8</xdr:col>
      <xdr:colOff>304800</xdr:colOff>
      <xdr:row>62</xdr:row>
      <xdr:rowOff>114300</xdr:rowOff>
    </xdr:to>
    <xdr:sp macro="" textlink="">
      <xdr:nvSpPr>
        <xdr:cNvPr id="30" name="AutoShape 35" descr="https://registries.health.gov.il/assets/icons/valid.svg">
          <a:extLst>
            <a:ext uri="{FF2B5EF4-FFF2-40B4-BE49-F238E27FC236}">
              <a16:creationId xmlns:a16="http://schemas.microsoft.com/office/drawing/2014/main" id="{40E68599-3188-4146-90A1-74D00A6B9CA8}"/>
            </a:ext>
          </a:extLst>
        </xdr:cNvPr>
        <xdr:cNvSpPr>
          <a:spLocks noChangeAspect="1" noChangeArrowheads="1"/>
        </xdr:cNvSpPr>
      </xdr:nvSpPr>
      <xdr:spPr bwMode="auto">
        <a:xfrm>
          <a:off x="10984222380" y="109804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72</xdr:row>
      <xdr:rowOff>0</xdr:rowOff>
    </xdr:from>
    <xdr:to>
      <xdr:col>8</xdr:col>
      <xdr:colOff>304800</xdr:colOff>
      <xdr:row>73</xdr:row>
      <xdr:rowOff>114300</xdr:rowOff>
    </xdr:to>
    <xdr:sp macro="" textlink="">
      <xdr:nvSpPr>
        <xdr:cNvPr id="31" name="AutoShape 36" descr="https://registries.health.gov.il/assets/icons/valid.svg">
          <a:extLst>
            <a:ext uri="{FF2B5EF4-FFF2-40B4-BE49-F238E27FC236}">
              <a16:creationId xmlns:a16="http://schemas.microsoft.com/office/drawing/2014/main" id="{C1D5A932-5506-43D6-A11A-25B5A4A18A46}"/>
            </a:ext>
          </a:extLst>
        </xdr:cNvPr>
        <xdr:cNvSpPr>
          <a:spLocks noChangeAspect="1" noChangeArrowheads="1"/>
        </xdr:cNvSpPr>
      </xdr:nvSpPr>
      <xdr:spPr bwMode="auto">
        <a:xfrm>
          <a:off x="10984222380" y="12915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87</xdr:row>
      <xdr:rowOff>0</xdr:rowOff>
    </xdr:from>
    <xdr:to>
      <xdr:col>8</xdr:col>
      <xdr:colOff>304800</xdr:colOff>
      <xdr:row>88</xdr:row>
      <xdr:rowOff>114300</xdr:rowOff>
    </xdr:to>
    <xdr:sp macro="" textlink="">
      <xdr:nvSpPr>
        <xdr:cNvPr id="32" name="AutoShape 37" descr="https://registries.health.gov.il/assets/icons/valid.svg">
          <a:extLst>
            <a:ext uri="{FF2B5EF4-FFF2-40B4-BE49-F238E27FC236}">
              <a16:creationId xmlns:a16="http://schemas.microsoft.com/office/drawing/2014/main" id="{136B1F82-6146-4B35-B196-1EAEEC2739A9}"/>
            </a:ext>
          </a:extLst>
        </xdr:cNvPr>
        <xdr:cNvSpPr>
          <a:spLocks noChangeAspect="1" noChangeArrowheads="1"/>
        </xdr:cNvSpPr>
      </xdr:nvSpPr>
      <xdr:spPr bwMode="auto">
        <a:xfrm>
          <a:off x="10984222380" y="15544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106</xdr:row>
      <xdr:rowOff>0</xdr:rowOff>
    </xdr:from>
    <xdr:to>
      <xdr:col>8</xdr:col>
      <xdr:colOff>304800</xdr:colOff>
      <xdr:row>107</xdr:row>
      <xdr:rowOff>114300</xdr:rowOff>
    </xdr:to>
    <xdr:sp macro="" textlink="">
      <xdr:nvSpPr>
        <xdr:cNvPr id="33" name="AutoShape 38" descr="https://registries.health.gov.il/assets/icons/valid.svg">
          <a:extLst>
            <a:ext uri="{FF2B5EF4-FFF2-40B4-BE49-F238E27FC236}">
              <a16:creationId xmlns:a16="http://schemas.microsoft.com/office/drawing/2014/main" id="{52FC39D5-7880-4542-9A60-FBE20480347F}"/>
            </a:ext>
          </a:extLst>
        </xdr:cNvPr>
        <xdr:cNvSpPr>
          <a:spLocks noChangeAspect="1" noChangeArrowheads="1"/>
        </xdr:cNvSpPr>
      </xdr:nvSpPr>
      <xdr:spPr bwMode="auto">
        <a:xfrm>
          <a:off x="10984222380" y="18874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125</xdr:row>
      <xdr:rowOff>0</xdr:rowOff>
    </xdr:from>
    <xdr:to>
      <xdr:col>8</xdr:col>
      <xdr:colOff>304800</xdr:colOff>
      <xdr:row>126</xdr:row>
      <xdr:rowOff>114300</xdr:rowOff>
    </xdr:to>
    <xdr:sp macro="" textlink="">
      <xdr:nvSpPr>
        <xdr:cNvPr id="34" name="AutoShape 39" descr="https://registries.health.gov.il/assets/icons/valid.svg">
          <a:extLst>
            <a:ext uri="{FF2B5EF4-FFF2-40B4-BE49-F238E27FC236}">
              <a16:creationId xmlns:a16="http://schemas.microsoft.com/office/drawing/2014/main" id="{2AD7FB64-5524-45EC-AD39-F498FA8A8AB3}"/>
            </a:ext>
          </a:extLst>
        </xdr:cNvPr>
        <xdr:cNvSpPr>
          <a:spLocks noChangeAspect="1" noChangeArrowheads="1"/>
        </xdr:cNvSpPr>
      </xdr:nvSpPr>
      <xdr:spPr bwMode="auto">
        <a:xfrm>
          <a:off x="10984222380" y="222046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136</xdr:row>
      <xdr:rowOff>0</xdr:rowOff>
    </xdr:from>
    <xdr:to>
      <xdr:col>8</xdr:col>
      <xdr:colOff>304800</xdr:colOff>
      <xdr:row>137</xdr:row>
      <xdr:rowOff>114300</xdr:rowOff>
    </xdr:to>
    <xdr:sp macro="" textlink="">
      <xdr:nvSpPr>
        <xdr:cNvPr id="35" name="AutoShape 40" descr="https://registries.health.gov.il/assets/icons/valid.svg">
          <a:extLst>
            <a:ext uri="{FF2B5EF4-FFF2-40B4-BE49-F238E27FC236}">
              <a16:creationId xmlns:a16="http://schemas.microsoft.com/office/drawing/2014/main" id="{1F5FC5E9-0A5C-40A6-8EA6-4F1007D9500D}"/>
            </a:ext>
          </a:extLst>
        </xdr:cNvPr>
        <xdr:cNvSpPr>
          <a:spLocks noChangeAspect="1" noChangeArrowheads="1"/>
        </xdr:cNvSpPr>
      </xdr:nvSpPr>
      <xdr:spPr bwMode="auto">
        <a:xfrm>
          <a:off x="10984222380" y="24132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155</xdr:row>
      <xdr:rowOff>0</xdr:rowOff>
    </xdr:from>
    <xdr:to>
      <xdr:col>8</xdr:col>
      <xdr:colOff>304800</xdr:colOff>
      <xdr:row>156</xdr:row>
      <xdr:rowOff>114300</xdr:rowOff>
    </xdr:to>
    <xdr:sp macro="" textlink="">
      <xdr:nvSpPr>
        <xdr:cNvPr id="36" name="AutoShape 41" descr="https://registries.health.gov.il/assets/icons/valid.svg">
          <a:extLst>
            <a:ext uri="{FF2B5EF4-FFF2-40B4-BE49-F238E27FC236}">
              <a16:creationId xmlns:a16="http://schemas.microsoft.com/office/drawing/2014/main" id="{F97CD2FB-6644-431E-B8E7-D63EB43E94D7}"/>
            </a:ext>
          </a:extLst>
        </xdr:cNvPr>
        <xdr:cNvSpPr>
          <a:spLocks noChangeAspect="1" noChangeArrowheads="1"/>
        </xdr:cNvSpPr>
      </xdr:nvSpPr>
      <xdr:spPr bwMode="auto">
        <a:xfrm>
          <a:off x="10984222380" y="27462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174</xdr:row>
      <xdr:rowOff>0</xdr:rowOff>
    </xdr:from>
    <xdr:to>
      <xdr:col>8</xdr:col>
      <xdr:colOff>304800</xdr:colOff>
      <xdr:row>175</xdr:row>
      <xdr:rowOff>114300</xdr:rowOff>
    </xdr:to>
    <xdr:sp macro="" textlink="">
      <xdr:nvSpPr>
        <xdr:cNvPr id="37" name="AutoShape 42" descr="https://registries.health.gov.il/assets/icons/valid.svg">
          <a:extLst>
            <a:ext uri="{FF2B5EF4-FFF2-40B4-BE49-F238E27FC236}">
              <a16:creationId xmlns:a16="http://schemas.microsoft.com/office/drawing/2014/main" id="{E7BA98AC-1CA5-4551-9414-354C734388D0}"/>
            </a:ext>
          </a:extLst>
        </xdr:cNvPr>
        <xdr:cNvSpPr>
          <a:spLocks noChangeAspect="1" noChangeArrowheads="1"/>
        </xdr:cNvSpPr>
      </xdr:nvSpPr>
      <xdr:spPr bwMode="auto">
        <a:xfrm>
          <a:off x="10984222380" y="30792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185</xdr:row>
      <xdr:rowOff>0</xdr:rowOff>
    </xdr:from>
    <xdr:to>
      <xdr:col>8</xdr:col>
      <xdr:colOff>304800</xdr:colOff>
      <xdr:row>186</xdr:row>
      <xdr:rowOff>114300</xdr:rowOff>
    </xdr:to>
    <xdr:sp macro="" textlink="">
      <xdr:nvSpPr>
        <xdr:cNvPr id="38" name="AutoShape 43" descr="https://registries.health.gov.il/assets/icons/valid.svg">
          <a:extLst>
            <a:ext uri="{FF2B5EF4-FFF2-40B4-BE49-F238E27FC236}">
              <a16:creationId xmlns:a16="http://schemas.microsoft.com/office/drawing/2014/main" id="{0C6F5C6D-A7B4-4861-92B0-60DBB2F6ECC5}"/>
            </a:ext>
          </a:extLst>
        </xdr:cNvPr>
        <xdr:cNvSpPr>
          <a:spLocks noChangeAspect="1" noChangeArrowheads="1"/>
        </xdr:cNvSpPr>
      </xdr:nvSpPr>
      <xdr:spPr bwMode="auto">
        <a:xfrm>
          <a:off x="10984222380" y="327202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204</xdr:row>
      <xdr:rowOff>0</xdr:rowOff>
    </xdr:from>
    <xdr:to>
      <xdr:col>8</xdr:col>
      <xdr:colOff>304800</xdr:colOff>
      <xdr:row>205</xdr:row>
      <xdr:rowOff>114300</xdr:rowOff>
    </xdr:to>
    <xdr:sp macro="" textlink="">
      <xdr:nvSpPr>
        <xdr:cNvPr id="39" name="AutoShape 44" descr="https://registries.health.gov.il/assets/icons/valid.svg">
          <a:extLst>
            <a:ext uri="{FF2B5EF4-FFF2-40B4-BE49-F238E27FC236}">
              <a16:creationId xmlns:a16="http://schemas.microsoft.com/office/drawing/2014/main" id="{02C7A161-F5AC-4560-841F-9DCBF7E7B130}"/>
            </a:ext>
          </a:extLst>
        </xdr:cNvPr>
        <xdr:cNvSpPr>
          <a:spLocks noChangeAspect="1" noChangeArrowheads="1"/>
        </xdr:cNvSpPr>
      </xdr:nvSpPr>
      <xdr:spPr bwMode="auto">
        <a:xfrm>
          <a:off x="10984222380" y="360502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223</xdr:row>
      <xdr:rowOff>0</xdr:rowOff>
    </xdr:from>
    <xdr:to>
      <xdr:col>8</xdr:col>
      <xdr:colOff>304800</xdr:colOff>
      <xdr:row>224</xdr:row>
      <xdr:rowOff>114300</xdr:rowOff>
    </xdr:to>
    <xdr:sp macro="" textlink="">
      <xdr:nvSpPr>
        <xdr:cNvPr id="40" name="AutoShape 45" descr="https://registries.health.gov.il/assets/icons/valid.svg">
          <a:extLst>
            <a:ext uri="{FF2B5EF4-FFF2-40B4-BE49-F238E27FC236}">
              <a16:creationId xmlns:a16="http://schemas.microsoft.com/office/drawing/2014/main" id="{E0383454-AD87-4FB1-A838-12A5C1DA1F91}"/>
            </a:ext>
          </a:extLst>
        </xdr:cNvPr>
        <xdr:cNvSpPr>
          <a:spLocks noChangeAspect="1" noChangeArrowheads="1"/>
        </xdr:cNvSpPr>
      </xdr:nvSpPr>
      <xdr:spPr bwMode="auto">
        <a:xfrm>
          <a:off x="10984222380" y="393801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234</xdr:row>
      <xdr:rowOff>0</xdr:rowOff>
    </xdr:from>
    <xdr:to>
      <xdr:col>8</xdr:col>
      <xdr:colOff>304800</xdr:colOff>
      <xdr:row>235</xdr:row>
      <xdr:rowOff>114300</xdr:rowOff>
    </xdr:to>
    <xdr:sp macro="" textlink="">
      <xdr:nvSpPr>
        <xdr:cNvPr id="41" name="AutoShape 46" descr="https://registries.health.gov.il/assets/icons/valid.svg">
          <a:extLst>
            <a:ext uri="{FF2B5EF4-FFF2-40B4-BE49-F238E27FC236}">
              <a16:creationId xmlns:a16="http://schemas.microsoft.com/office/drawing/2014/main" id="{D1A934B6-5BE3-4771-ACEE-370896B6B98A}"/>
            </a:ext>
          </a:extLst>
        </xdr:cNvPr>
        <xdr:cNvSpPr>
          <a:spLocks noChangeAspect="1" noChangeArrowheads="1"/>
        </xdr:cNvSpPr>
      </xdr:nvSpPr>
      <xdr:spPr bwMode="auto">
        <a:xfrm>
          <a:off x="10984222380" y="413080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253</xdr:row>
      <xdr:rowOff>0</xdr:rowOff>
    </xdr:from>
    <xdr:to>
      <xdr:col>8</xdr:col>
      <xdr:colOff>304800</xdr:colOff>
      <xdr:row>254</xdr:row>
      <xdr:rowOff>114300</xdr:rowOff>
    </xdr:to>
    <xdr:sp macro="" textlink="">
      <xdr:nvSpPr>
        <xdr:cNvPr id="42" name="AutoShape 47" descr="https://registries.health.gov.il/assets/icons/valid.svg">
          <a:extLst>
            <a:ext uri="{FF2B5EF4-FFF2-40B4-BE49-F238E27FC236}">
              <a16:creationId xmlns:a16="http://schemas.microsoft.com/office/drawing/2014/main" id="{10832B2B-2EF6-4D56-A73B-5DB2A1B4DA96}"/>
            </a:ext>
          </a:extLst>
        </xdr:cNvPr>
        <xdr:cNvSpPr>
          <a:spLocks noChangeAspect="1" noChangeArrowheads="1"/>
        </xdr:cNvSpPr>
      </xdr:nvSpPr>
      <xdr:spPr bwMode="auto">
        <a:xfrm>
          <a:off x="10984222380" y="44637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272</xdr:row>
      <xdr:rowOff>0</xdr:rowOff>
    </xdr:from>
    <xdr:to>
      <xdr:col>8</xdr:col>
      <xdr:colOff>304800</xdr:colOff>
      <xdr:row>273</xdr:row>
      <xdr:rowOff>114300</xdr:rowOff>
    </xdr:to>
    <xdr:sp macro="" textlink="">
      <xdr:nvSpPr>
        <xdr:cNvPr id="43" name="AutoShape 48" descr="https://registries.health.gov.il/assets/icons/valid_partial.svg">
          <a:extLst>
            <a:ext uri="{FF2B5EF4-FFF2-40B4-BE49-F238E27FC236}">
              <a16:creationId xmlns:a16="http://schemas.microsoft.com/office/drawing/2014/main" id="{952325C7-A50C-4FBA-9FA9-7DF43A7230F4}"/>
            </a:ext>
          </a:extLst>
        </xdr:cNvPr>
        <xdr:cNvSpPr>
          <a:spLocks noChangeAspect="1" noChangeArrowheads="1"/>
        </xdr:cNvSpPr>
      </xdr:nvSpPr>
      <xdr:spPr bwMode="auto">
        <a:xfrm>
          <a:off x="10984222380" y="47967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287</xdr:row>
      <xdr:rowOff>0</xdr:rowOff>
    </xdr:from>
    <xdr:to>
      <xdr:col>8</xdr:col>
      <xdr:colOff>304800</xdr:colOff>
      <xdr:row>288</xdr:row>
      <xdr:rowOff>114300</xdr:rowOff>
    </xdr:to>
    <xdr:sp macro="" textlink="">
      <xdr:nvSpPr>
        <xdr:cNvPr id="44" name="AutoShape 49" descr="https://registries.health.gov.il/assets/icons/valid.svg">
          <a:extLst>
            <a:ext uri="{FF2B5EF4-FFF2-40B4-BE49-F238E27FC236}">
              <a16:creationId xmlns:a16="http://schemas.microsoft.com/office/drawing/2014/main" id="{B2F420F8-6F48-4503-A180-BFF1D0747CB7}"/>
            </a:ext>
          </a:extLst>
        </xdr:cNvPr>
        <xdr:cNvSpPr>
          <a:spLocks noChangeAspect="1" noChangeArrowheads="1"/>
        </xdr:cNvSpPr>
      </xdr:nvSpPr>
      <xdr:spPr bwMode="auto">
        <a:xfrm>
          <a:off x="10984222380" y="50596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306</xdr:row>
      <xdr:rowOff>0</xdr:rowOff>
    </xdr:from>
    <xdr:to>
      <xdr:col>8</xdr:col>
      <xdr:colOff>304800</xdr:colOff>
      <xdr:row>307</xdr:row>
      <xdr:rowOff>114300</xdr:rowOff>
    </xdr:to>
    <xdr:sp macro="" textlink="">
      <xdr:nvSpPr>
        <xdr:cNvPr id="45" name="AutoShape 50" descr="https://registries.health.gov.il/assets/icons/valid.svg">
          <a:extLst>
            <a:ext uri="{FF2B5EF4-FFF2-40B4-BE49-F238E27FC236}">
              <a16:creationId xmlns:a16="http://schemas.microsoft.com/office/drawing/2014/main" id="{27FF2002-942A-49B2-BFF3-FE50302928E5}"/>
            </a:ext>
          </a:extLst>
        </xdr:cNvPr>
        <xdr:cNvSpPr>
          <a:spLocks noChangeAspect="1" noChangeArrowheads="1"/>
        </xdr:cNvSpPr>
      </xdr:nvSpPr>
      <xdr:spPr bwMode="auto">
        <a:xfrm>
          <a:off x="10984222380" y="53926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317</xdr:row>
      <xdr:rowOff>0</xdr:rowOff>
    </xdr:from>
    <xdr:to>
      <xdr:col>8</xdr:col>
      <xdr:colOff>304800</xdr:colOff>
      <xdr:row>318</xdr:row>
      <xdr:rowOff>114300</xdr:rowOff>
    </xdr:to>
    <xdr:sp macro="" textlink="">
      <xdr:nvSpPr>
        <xdr:cNvPr id="46" name="AutoShape 51" descr="https://registries.health.gov.il/assets/icons/valid.svg">
          <a:extLst>
            <a:ext uri="{FF2B5EF4-FFF2-40B4-BE49-F238E27FC236}">
              <a16:creationId xmlns:a16="http://schemas.microsoft.com/office/drawing/2014/main" id="{D8213F55-37CB-4BA9-B44C-FE42694EF130}"/>
            </a:ext>
          </a:extLst>
        </xdr:cNvPr>
        <xdr:cNvSpPr>
          <a:spLocks noChangeAspect="1" noChangeArrowheads="1"/>
        </xdr:cNvSpPr>
      </xdr:nvSpPr>
      <xdr:spPr bwMode="auto">
        <a:xfrm>
          <a:off x="10984222380" y="55854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336</xdr:row>
      <xdr:rowOff>0</xdr:rowOff>
    </xdr:from>
    <xdr:to>
      <xdr:col>8</xdr:col>
      <xdr:colOff>304800</xdr:colOff>
      <xdr:row>337</xdr:row>
      <xdr:rowOff>114300</xdr:rowOff>
    </xdr:to>
    <xdr:sp macro="" textlink="">
      <xdr:nvSpPr>
        <xdr:cNvPr id="47" name="AutoShape 52" descr="https://registries.health.gov.il/assets/icons/valid.svg">
          <a:extLst>
            <a:ext uri="{FF2B5EF4-FFF2-40B4-BE49-F238E27FC236}">
              <a16:creationId xmlns:a16="http://schemas.microsoft.com/office/drawing/2014/main" id="{F3A345FA-4C06-45AE-9EFD-A15CD31780F9}"/>
            </a:ext>
          </a:extLst>
        </xdr:cNvPr>
        <xdr:cNvSpPr>
          <a:spLocks noChangeAspect="1" noChangeArrowheads="1"/>
        </xdr:cNvSpPr>
      </xdr:nvSpPr>
      <xdr:spPr bwMode="auto">
        <a:xfrm>
          <a:off x="10984222380" y="59184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10</xdr:row>
      <xdr:rowOff>0</xdr:rowOff>
    </xdr:from>
    <xdr:ext cx="304800" cy="304800"/>
    <xdr:sp macro="" textlink="">
      <xdr:nvSpPr>
        <xdr:cNvPr id="48" name="AutoShape 33" descr="https://registries.health.gov.il/assets/icons/valid.svg">
          <a:extLst>
            <a:ext uri="{FF2B5EF4-FFF2-40B4-BE49-F238E27FC236}">
              <a16:creationId xmlns:a16="http://schemas.microsoft.com/office/drawing/2014/main" id="{0D8EAEB6-EFC1-40CB-8DA7-FBBF4ACC4141}"/>
            </a:ext>
          </a:extLst>
        </xdr:cNvPr>
        <xdr:cNvSpPr>
          <a:spLocks noChangeAspect="1" noChangeArrowheads="1"/>
        </xdr:cNvSpPr>
      </xdr:nvSpPr>
      <xdr:spPr bwMode="auto">
        <a:xfrm>
          <a:off x="10984222380" y="201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33</xdr:row>
      <xdr:rowOff>0</xdr:rowOff>
    </xdr:from>
    <xdr:ext cx="304800" cy="304800"/>
    <xdr:sp macro="" textlink="">
      <xdr:nvSpPr>
        <xdr:cNvPr id="49" name="AutoShape 34" descr="https://registries.health.gov.il/assets/icons/valid.svg">
          <a:extLst>
            <a:ext uri="{FF2B5EF4-FFF2-40B4-BE49-F238E27FC236}">
              <a16:creationId xmlns:a16="http://schemas.microsoft.com/office/drawing/2014/main" id="{B1757C66-F971-42B7-9B89-784F62ACDFAC}"/>
            </a:ext>
          </a:extLst>
        </xdr:cNvPr>
        <xdr:cNvSpPr>
          <a:spLocks noChangeAspect="1" noChangeArrowheads="1"/>
        </xdr:cNvSpPr>
      </xdr:nvSpPr>
      <xdr:spPr bwMode="auto">
        <a:xfrm>
          <a:off x="10984222380" y="606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44</xdr:row>
      <xdr:rowOff>0</xdr:rowOff>
    </xdr:from>
    <xdr:ext cx="304800" cy="304800"/>
    <xdr:sp macro="" textlink="">
      <xdr:nvSpPr>
        <xdr:cNvPr id="50" name="AutoShape 35" descr="https://registries.health.gov.il/assets/icons/valid.svg">
          <a:extLst>
            <a:ext uri="{FF2B5EF4-FFF2-40B4-BE49-F238E27FC236}">
              <a16:creationId xmlns:a16="http://schemas.microsoft.com/office/drawing/2014/main" id="{ABB2AF2D-D702-4BF7-AA2A-E46BE3CBB0C1}"/>
            </a:ext>
          </a:extLst>
        </xdr:cNvPr>
        <xdr:cNvSpPr>
          <a:spLocks noChangeAspect="1" noChangeArrowheads="1"/>
        </xdr:cNvSpPr>
      </xdr:nvSpPr>
      <xdr:spPr bwMode="auto">
        <a:xfrm>
          <a:off x="10984222380" y="799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55</xdr:row>
      <xdr:rowOff>0</xdr:rowOff>
    </xdr:from>
    <xdr:ext cx="304800" cy="304800"/>
    <xdr:sp macro="" textlink="">
      <xdr:nvSpPr>
        <xdr:cNvPr id="51" name="AutoShape 36" descr="https://registries.health.gov.il/assets/icons/valid.svg">
          <a:extLst>
            <a:ext uri="{FF2B5EF4-FFF2-40B4-BE49-F238E27FC236}">
              <a16:creationId xmlns:a16="http://schemas.microsoft.com/office/drawing/2014/main" id="{AE52E815-4432-4AA4-BFAD-E27EC8D6B034}"/>
            </a:ext>
          </a:extLst>
        </xdr:cNvPr>
        <xdr:cNvSpPr>
          <a:spLocks noChangeAspect="1" noChangeArrowheads="1"/>
        </xdr:cNvSpPr>
      </xdr:nvSpPr>
      <xdr:spPr bwMode="auto">
        <a:xfrm>
          <a:off x="10984222380" y="9921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70</xdr:row>
      <xdr:rowOff>0</xdr:rowOff>
    </xdr:from>
    <xdr:ext cx="304800" cy="304800"/>
    <xdr:sp macro="" textlink="">
      <xdr:nvSpPr>
        <xdr:cNvPr id="52" name="AutoShape 37" descr="https://registries.health.gov.il/assets/icons/valid.svg">
          <a:extLst>
            <a:ext uri="{FF2B5EF4-FFF2-40B4-BE49-F238E27FC236}">
              <a16:creationId xmlns:a16="http://schemas.microsoft.com/office/drawing/2014/main" id="{A21F5772-4326-42F6-B9F6-0D8E38B32A3F}"/>
            </a:ext>
          </a:extLst>
        </xdr:cNvPr>
        <xdr:cNvSpPr>
          <a:spLocks noChangeAspect="1" noChangeArrowheads="1"/>
        </xdr:cNvSpPr>
      </xdr:nvSpPr>
      <xdr:spPr bwMode="auto">
        <a:xfrm>
          <a:off x="10984222380" y="12565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89</xdr:row>
      <xdr:rowOff>0</xdr:rowOff>
    </xdr:from>
    <xdr:ext cx="304800" cy="304800"/>
    <xdr:sp macro="" textlink="">
      <xdr:nvSpPr>
        <xdr:cNvPr id="53" name="AutoShape 38" descr="https://registries.health.gov.il/assets/icons/valid.svg">
          <a:extLst>
            <a:ext uri="{FF2B5EF4-FFF2-40B4-BE49-F238E27FC236}">
              <a16:creationId xmlns:a16="http://schemas.microsoft.com/office/drawing/2014/main" id="{DC9EB600-DC57-4BD8-A411-E2746666EFBB}"/>
            </a:ext>
          </a:extLst>
        </xdr:cNvPr>
        <xdr:cNvSpPr>
          <a:spLocks noChangeAspect="1" noChangeArrowheads="1"/>
        </xdr:cNvSpPr>
      </xdr:nvSpPr>
      <xdr:spPr bwMode="auto">
        <a:xfrm>
          <a:off x="10984222380" y="15895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108</xdr:row>
      <xdr:rowOff>0</xdr:rowOff>
    </xdr:from>
    <xdr:ext cx="304800" cy="304800"/>
    <xdr:sp macro="" textlink="">
      <xdr:nvSpPr>
        <xdr:cNvPr id="54" name="AutoShape 39" descr="https://registries.health.gov.il/assets/icons/valid.svg">
          <a:extLst>
            <a:ext uri="{FF2B5EF4-FFF2-40B4-BE49-F238E27FC236}">
              <a16:creationId xmlns:a16="http://schemas.microsoft.com/office/drawing/2014/main" id="{13E08038-51F9-4CB9-AEF3-C559D0C12B78}"/>
            </a:ext>
          </a:extLst>
        </xdr:cNvPr>
        <xdr:cNvSpPr>
          <a:spLocks noChangeAspect="1" noChangeArrowheads="1"/>
        </xdr:cNvSpPr>
      </xdr:nvSpPr>
      <xdr:spPr bwMode="auto">
        <a:xfrm>
          <a:off x="10984222380" y="19225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119</xdr:row>
      <xdr:rowOff>0</xdr:rowOff>
    </xdr:from>
    <xdr:ext cx="304800" cy="304800"/>
    <xdr:sp macro="" textlink="">
      <xdr:nvSpPr>
        <xdr:cNvPr id="55" name="AutoShape 40" descr="https://registries.health.gov.il/assets/icons/valid.svg">
          <a:extLst>
            <a:ext uri="{FF2B5EF4-FFF2-40B4-BE49-F238E27FC236}">
              <a16:creationId xmlns:a16="http://schemas.microsoft.com/office/drawing/2014/main" id="{280AC4B1-70A6-41D6-851D-56F9E3342E79}"/>
            </a:ext>
          </a:extLst>
        </xdr:cNvPr>
        <xdr:cNvSpPr>
          <a:spLocks noChangeAspect="1" noChangeArrowheads="1"/>
        </xdr:cNvSpPr>
      </xdr:nvSpPr>
      <xdr:spPr bwMode="auto">
        <a:xfrm>
          <a:off x="10984222380" y="2115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xdr:row>
      <xdr:rowOff>0</xdr:rowOff>
    </xdr:from>
    <xdr:ext cx="304800" cy="304800"/>
    <xdr:sp macro="" textlink="">
      <xdr:nvSpPr>
        <xdr:cNvPr id="56" name="AutoShape 41" descr="https://registries.health.gov.il/assets/icons/valid.svg">
          <a:extLst>
            <a:ext uri="{FF2B5EF4-FFF2-40B4-BE49-F238E27FC236}">
              <a16:creationId xmlns:a16="http://schemas.microsoft.com/office/drawing/2014/main" id="{6141E1F8-F09B-4345-856F-8DAC5F4596E3}"/>
            </a:ext>
          </a:extLst>
        </xdr:cNvPr>
        <xdr:cNvSpPr>
          <a:spLocks noChangeAspect="1" noChangeArrowheads="1"/>
        </xdr:cNvSpPr>
      </xdr:nvSpPr>
      <xdr:spPr bwMode="auto">
        <a:xfrm>
          <a:off x="10984222380" y="24483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157</xdr:row>
      <xdr:rowOff>0</xdr:rowOff>
    </xdr:from>
    <xdr:ext cx="304800" cy="304800"/>
    <xdr:sp macro="" textlink="">
      <xdr:nvSpPr>
        <xdr:cNvPr id="57" name="AutoShape 42" descr="https://registries.health.gov.il/assets/icons/valid.svg">
          <a:extLst>
            <a:ext uri="{FF2B5EF4-FFF2-40B4-BE49-F238E27FC236}">
              <a16:creationId xmlns:a16="http://schemas.microsoft.com/office/drawing/2014/main" id="{E1B91000-27EC-49B8-BEAE-8915189A0EE6}"/>
            </a:ext>
          </a:extLst>
        </xdr:cNvPr>
        <xdr:cNvSpPr>
          <a:spLocks noChangeAspect="1" noChangeArrowheads="1"/>
        </xdr:cNvSpPr>
      </xdr:nvSpPr>
      <xdr:spPr bwMode="auto">
        <a:xfrm>
          <a:off x="10984222380" y="2781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168</xdr:row>
      <xdr:rowOff>0</xdr:rowOff>
    </xdr:from>
    <xdr:ext cx="304800" cy="304800"/>
    <xdr:sp macro="" textlink="">
      <xdr:nvSpPr>
        <xdr:cNvPr id="58" name="AutoShape 43" descr="https://registries.health.gov.il/assets/icons/valid.svg">
          <a:extLst>
            <a:ext uri="{FF2B5EF4-FFF2-40B4-BE49-F238E27FC236}">
              <a16:creationId xmlns:a16="http://schemas.microsoft.com/office/drawing/2014/main" id="{58FE3C81-B615-4ED4-805C-632C8B60126E}"/>
            </a:ext>
          </a:extLst>
        </xdr:cNvPr>
        <xdr:cNvSpPr>
          <a:spLocks noChangeAspect="1" noChangeArrowheads="1"/>
        </xdr:cNvSpPr>
      </xdr:nvSpPr>
      <xdr:spPr bwMode="auto">
        <a:xfrm>
          <a:off x="10984222380" y="29740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187</xdr:row>
      <xdr:rowOff>0</xdr:rowOff>
    </xdr:from>
    <xdr:ext cx="304800" cy="304800"/>
    <xdr:sp macro="" textlink="">
      <xdr:nvSpPr>
        <xdr:cNvPr id="59" name="AutoShape 44" descr="https://registries.health.gov.il/assets/icons/valid.svg">
          <a:extLst>
            <a:ext uri="{FF2B5EF4-FFF2-40B4-BE49-F238E27FC236}">
              <a16:creationId xmlns:a16="http://schemas.microsoft.com/office/drawing/2014/main" id="{A7F663C9-D9D2-4068-B0BB-207BC41DF834}"/>
            </a:ext>
          </a:extLst>
        </xdr:cNvPr>
        <xdr:cNvSpPr>
          <a:spLocks noChangeAspect="1" noChangeArrowheads="1"/>
        </xdr:cNvSpPr>
      </xdr:nvSpPr>
      <xdr:spPr bwMode="auto">
        <a:xfrm>
          <a:off x="10984222380" y="3307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206</xdr:row>
      <xdr:rowOff>0</xdr:rowOff>
    </xdr:from>
    <xdr:ext cx="304800" cy="304800"/>
    <xdr:sp macro="" textlink="">
      <xdr:nvSpPr>
        <xdr:cNvPr id="60" name="AutoShape 45" descr="https://registries.health.gov.il/assets/icons/valid.svg">
          <a:extLst>
            <a:ext uri="{FF2B5EF4-FFF2-40B4-BE49-F238E27FC236}">
              <a16:creationId xmlns:a16="http://schemas.microsoft.com/office/drawing/2014/main" id="{45D26223-A1D8-4CDB-BBAE-863BB6D3305B}"/>
            </a:ext>
          </a:extLst>
        </xdr:cNvPr>
        <xdr:cNvSpPr>
          <a:spLocks noChangeAspect="1" noChangeArrowheads="1"/>
        </xdr:cNvSpPr>
      </xdr:nvSpPr>
      <xdr:spPr bwMode="auto">
        <a:xfrm>
          <a:off x="10984222380" y="36400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217</xdr:row>
      <xdr:rowOff>0</xdr:rowOff>
    </xdr:from>
    <xdr:ext cx="304800" cy="304800"/>
    <xdr:sp macro="" textlink="">
      <xdr:nvSpPr>
        <xdr:cNvPr id="61" name="AutoShape 46" descr="https://registries.health.gov.il/assets/icons/valid.svg">
          <a:extLst>
            <a:ext uri="{FF2B5EF4-FFF2-40B4-BE49-F238E27FC236}">
              <a16:creationId xmlns:a16="http://schemas.microsoft.com/office/drawing/2014/main" id="{F20035C1-2738-4C5B-828D-70A1AA0023CC}"/>
            </a:ext>
          </a:extLst>
        </xdr:cNvPr>
        <xdr:cNvSpPr>
          <a:spLocks noChangeAspect="1" noChangeArrowheads="1"/>
        </xdr:cNvSpPr>
      </xdr:nvSpPr>
      <xdr:spPr bwMode="auto">
        <a:xfrm>
          <a:off x="10984222380" y="38328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236</xdr:row>
      <xdr:rowOff>0</xdr:rowOff>
    </xdr:from>
    <xdr:ext cx="304800" cy="304800"/>
    <xdr:sp macro="" textlink="">
      <xdr:nvSpPr>
        <xdr:cNvPr id="62" name="AutoShape 47" descr="https://registries.health.gov.il/assets/icons/valid.svg">
          <a:extLst>
            <a:ext uri="{FF2B5EF4-FFF2-40B4-BE49-F238E27FC236}">
              <a16:creationId xmlns:a16="http://schemas.microsoft.com/office/drawing/2014/main" id="{F7332B19-D1D3-4BCA-B83C-A2CE40F0B1CD}"/>
            </a:ext>
          </a:extLst>
        </xdr:cNvPr>
        <xdr:cNvSpPr>
          <a:spLocks noChangeAspect="1" noChangeArrowheads="1"/>
        </xdr:cNvSpPr>
      </xdr:nvSpPr>
      <xdr:spPr bwMode="auto">
        <a:xfrm>
          <a:off x="10984222380" y="41658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255</xdr:row>
      <xdr:rowOff>0</xdr:rowOff>
    </xdr:from>
    <xdr:ext cx="304800" cy="304800"/>
    <xdr:sp macro="" textlink="">
      <xdr:nvSpPr>
        <xdr:cNvPr id="63" name="AutoShape 48" descr="https://registries.health.gov.il/assets/icons/valid_partial.svg">
          <a:extLst>
            <a:ext uri="{FF2B5EF4-FFF2-40B4-BE49-F238E27FC236}">
              <a16:creationId xmlns:a16="http://schemas.microsoft.com/office/drawing/2014/main" id="{B3909FD2-21A8-4113-97FB-C5EF5100190E}"/>
            </a:ext>
          </a:extLst>
        </xdr:cNvPr>
        <xdr:cNvSpPr>
          <a:spLocks noChangeAspect="1" noChangeArrowheads="1"/>
        </xdr:cNvSpPr>
      </xdr:nvSpPr>
      <xdr:spPr bwMode="auto">
        <a:xfrm>
          <a:off x="10984222380" y="4498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270</xdr:row>
      <xdr:rowOff>0</xdr:rowOff>
    </xdr:from>
    <xdr:ext cx="304800" cy="304800"/>
    <xdr:sp macro="" textlink="">
      <xdr:nvSpPr>
        <xdr:cNvPr id="64" name="AutoShape 49" descr="https://registries.health.gov.il/assets/icons/valid.svg">
          <a:extLst>
            <a:ext uri="{FF2B5EF4-FFF2-40B4-BE49-F238E27FC236}">
              <a16:creationId xmlns:a16="http://schemas.microsoft.com/office/drawing/2014/main" id="{654694E7-28B3-4A85-8AD2-C4313FB7B5C2}"/>
            </a:ext>
          </a:extLst>
        </xdr:cNvPr>
        <xdr:cNvSpPr>
          <a:spLocks noChangeAspect="1" noChangeArrowheads="1"/>
        </xdr:cNvSpPr>
      </xdr:nvSpPr>
      <xdr:spPr bwMode="auto">
        <a:xfrm>
          <a:off x="10984222380" y="47617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289</xdr:row>
      <xdr:rowOff>0</xdr:rowOff>
    </xdr:from>
    <xdr:ext cx="304800" cy="304800"/>
    <xdr:sp macro="" textlink="">
      <xdr:nvSpPr>
        <xdr:cNvPr id="65" name="AutoShape 50" descr="https://registries.health.gov.il/assets/icons/valid.svg">
          <a:extLst>
            <a:ext uri="{FF2B5EF4-FFF2-40B4-BE49-F238E27FC236}">
              <a16:creationId xmlns:a16="http://schemas.microsoft.com/office/drawing/2014/main" id="{AA816F3E-3DB0-4F80-BA5A-B96287924FAA}"/>
            </a:ext>
          </a:extLst>
        </xdr:cNvPr>
        <xdr:cNvSpPr>
          <a:spLocks noChangeAspect="1" noChangeArrowheads="1"/>
        </xdr:cNvSpPr>
      </xdr:nvSpPr>
      <xdr:spPr bwMode="auto">
        <a:xfrm>
          <a:off x="10984222380" y="50947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300</xdr:row>
      <xdr:rowOff>0</xdr:rowOff>
    </xdr:from>
    <xdr:ext cx="304800" cy="304800"/>
    <xdr:sp macro="" textlink="">
      <xdr:nvSpPr>
        <xdr:cNvPr id="66" name="AutoShape 51" descr="https://registries.health.gov.il/assets/icons/valid.svg">
          <a:extLst>
            <a:ext uri="{FF2B5EF4-FFF2-40B4-BE49-F238E27FC236}">
              <a16:creationId xmlns:a16="http://schemas.microsoft.com/office/drawing/2014/main" id="{98093A38-F42B-4A85-8356-9F19642FAC8C}"/>
            </a:ext>
          </a:extLst>
        </xdr:cNvPr>
        <xdr:cNvSpPr>
          <a:spLocks noChangeAspect="1" noChangeArrowheads="1"/>
        </xdr:cNvSpPr>
      </xdr:nvSpPr>
      <xdr:spPr bwMode="auto">
        <a:xfrm>
          <a:off x="10984222380" y="528751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319</xdr:row>
      <xdr:rowOff>0</xdr:rowOff>
    </xdr:from>
    <xdr:ext cx="304800" cy="304800"/>
    <xdr:sp macro="" textlink="">
      <xdr:nvSpPr>
        <xdr:cNvPr id="67" name="AutoShape 52" descr="https://registries.health.gov.il/assets/icons/valid.svg">
          <a:extLst>
            <a:ext uri="{FF2B5EF4-FFF2-40B4-BE49-F238E27FC236}">
              <a16:creationId xmlns:a16="http://schemas.microsoft.com/office/drawing/2014/main" id="{80EE3AC2-D7F4-4363-BAFA-D7CEBA7C6B84}"/>
            </a:ext>
          </a:extLst>
        </xdr:cNvPr>
        <xdr:cNvSpPr>
          <a:spLocks noChangeAspect="1" noChangeArrowheads="1"/>
        </xdr:cNvSpPr>
      </xdr:nvSpPr>
      <xdr:spPr bwMode="auto">
        <a:xfrm>
          <a:off x="10984222380" y="5620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8</xdr:row>
      <xdr:rowOff>0</xdr:rowOff>
    </xdr:from>
    <xdr:to>
      <xdr:col>8</xdr:col>
      <xdr:colOff>304800</xdr:colOff>
      <xdr:row>9</xdr:row>
      <xdr:rowOff>114300</xdr:rowOff>
    </xdr:to>
    <xdr:sp macro="" textlink="">
      <xdr:nvSpPr>
        <xdr:cNvPr id="68" name="AutoShape 53" descr="https://registries.health.gov.il/assets/icons/valid.svg">
          <a:extLst>
            <a:ext uri="{FF2B5EF4-FFF2-40B4-BE49-F238E27FC236}">
              <a16:creationId xmlns:a16="http://schemas.microsoft.com/office/drawing/2014/main" id="{AA5BC5BC-9423-48F5-8260-46A10B68D825}"/>
            </a:ext>
          </a:extLst>
        </xdr:cNvPr>
        <xdr:cNvSpPr>
          <a:spLocks noChangeAspect="1" noChangeArrowheads="1"/>
        </xdr:cNvSpPr>
      </xdr:nvSpPr>
      <xdr:spPr bwMode="auto">
        <a:xfrm>
          <a:off x="10984222380" y="1668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xdr:row>
      <xdr:rowOff>0</xdr:rowOff>
    </xdr:from>
    <xdr:to>
      <xdr:col>8</xdr:col>
      <xdr:colOff>304800</xdr:colOff>
      <xdr:row>28</xdr:row>
      <xdr:rowOff>114300</xdr:rowOff>
    </xdr:to>
    <xdr:sp macro="" textlink="">
      <xdr:nvSpPr>
        <xdr:cNvPr id="69" name="AutoShape 54" descr="https://registries.health.gov.il/assets/icons/valid.svg">
          <a:extLst>
            <a:ext uri="{FF2B5EF4-FFF2-40B4-BE49-F238E27FC236}">
              <a16:creationId xmlns:a16="http://schemas.microsoft.com/office/drawing/2014/main" id="{06439531-96BC-4BA7-9682-2712DBDAC030}"/>
            </a:ext>
          </a:extLst>
        </xdr:cNvPr>
        <xdr:cNvSpPr>
          <a:spLocks noChangeAspect="1" noChangeArrowheads="1"/>
        </xdr:cNvSpPr>
      </xdr:nvSpPr>
      <xdr:spPr bwMode="auto">
        <a:xfrm>
          <a:off x="10984222380" y="5013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46</xdr:row>
      <xdr:rowOff>0</xdr:rowOff>
    </xdr:from>
    <xdr:to>
      <xdr:col>8</xdr:col>
      <xdr:colOff>304800</xdr:colOff>
      <xdr:row>47</xdr:row>
      <xdr:rowOff>114300</xdr:rowOff>
    </xdr:to>
    <xdr:sp macro="" textlink="">
      <xdr:nvSpPr>
        <xdr:cNvPr id="70" name="AutoShape 55" descr="https://registries.health.gov.il/assets/icons/valid.svg">
          <a:extLst>
            <a:ext uri="{FF2B5EF4-FFF2-40B4-BE49-F238E27FC236}">
              <a16:creationId xmlns:a16="http://schemas.microsoft.com/office/drawing/2014/main" id="{AABB9CB8-BC46-4DD2-9BE8-E3CDC8F7451D}"/>
            </a:ext>
          </a:extLst>
        </xdr:cNvPr>
        <xdr:cNvSpPr>
          <a:spLocks noChangeAspect="1" noChangeArrowheads="1"/>
        </xdr:cNvSpPr>
      </xdr:nvSpPr>
      <xdr:spPr bwMode="auto">
        <a:xfrm>
          <a:off x="10984222380" y="8343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69</xdr:row>
      <xdr:rowOff>0</xdr:rowOff>
    </xdr:from>
    <xdr:to>
      <xdr:col>8</xdr:col>
      <xdr:colOff>304800</xdr:colOff>
      <xdr:row>70</xdr:row>
      <xdr:rowOff>114300</xdr:rowOff>
    </xdr:to>
    <xdr:sp macro="" textlink="">
      <xdr:nvSpPr>
        <xdr:cNvPr id="71" name="AutoShape 56" descr="https://registries.health.gov.il/assets/icons/valid.svg">
          <a:extLst>
            <a:ext uri="{FF2B5EF4-FFF2-40B4-BE49-F238E27FC236}">
              <a16:creationId xmlns:a16="http://schemas.microsoft.com/office/drawing/2014/main" id="{E9684AD4-99B7-49A4-A99C-5D7A3339A209}"/>
            </a:ext>
          </a:extLst>
        </xdr:cNvPr>
        <xdr:cNvSpPr>
          <a:spLocks noChangeAspect="1" noChangeArrowheads="1"/>
        </xdr:cNvSpPr>
      </xdr:nvSpPr>
      <xdr:spPr bwMode="auto">
        <a:xfrm>
          <a:off x="10984222380" y="12390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88</xdr:row>
      <xdr:rowOff>0</xdr:rowOff>
    </xdr:from>
    <xdr:to>
      <xdr:col>8</xdr:col>
      <xdr:colOff>304800</xdr:colOff>
      <xdr:row>89</xdr:row>
      <xdr:rowOff>114300</xdr:rowOff>
    </xdr:to>
    <xdr:sp macro="" textlink="">
      <xdr:nvSpPr>
        <xdr:cNvPr id="72" name="AutoShape 57" descr="https://registries.health.gov.il/assets/icons/valid.svg">
          <a:extLst>
            <a:ext uri="{FF2B5EF4-FFF2-40B4-BE49-F238E27FC236}">
              <a16:creationId xmlns:a16="http://schemas.microsoft.com/office/drawing/2014/main" id="{1825FA95-A1B4-4195-B6CB-4D55CEBB912C}"/>
            </a:ext>
          </a:extLst>
        </xdr:cNvPr>
        <xdr:cNvSpPr>
          <a:spLocks noChangeAspect="1" noChangeArrowheads="1"/>
        </xdr:cNvSpPr>
      </xdr:nvSpPr>
      <xdr:spPr bwMode="auto">
        <a:xfrm>
          <a:off x="10984222380" y="157200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99</xdr:row>
      <xdr:rowOff>0</xdr:rowOff>
    </xdr:from>
    <xdr:to>
      <xdr:col>8</xdr:col>
      <xdr:colOff>304800</xdr:colOff>
      <xdr:row>100</xdr:row>
      <xdr:rowOff>114300</xdr:rowOff>
    </xdr:to>
    <xdr:sp macro="" textlink="">
      <xdr:nvSpPr>
        <xdr:cNvPr id="73" name="AutoShape 58" descr="https://registries.health.gov.il/assets/icons/valid.svg">
          <a:extLst>
            <a:ext uri="{FF2B5EF4-FFF2-40B4-BE49-F238E27FC236}">
              <a16:creationId xmlns:a16="http://schemas.microsoft.com/office/drawing/2014/main" id="{20A5842F-43F1-4E47-B2C4-17F85B54C0CB}"/>
            </a:ext>
          </a:extLst>
        </xdr:cNvPr>
        <xdr:cNvSpPr>
          <a:spLocks noChangeAspect="1" noChangeArrowheads="1"/>
        </xdr:cNvSpPr>
      </xdr:nvSpPr>
      <xdr:spPr bwMode="auto">
        <a:xfrm>
          <a:off x="10984222380" y="176479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110</xdr:row>
      <xdr:rowOff>0</xdr:rowOff>
    </xdr:from>
    <xdr:to>
      <xdr:col>8</xdr:col>
      <xdr:colOff>304800</xdr:colOff>
      <xdr:row>111</xdr:row>
      <xdr:rowOff>114300</xdr:rowOff>
    </xdr:to>
    <xdr:sp macro="" textlink="">
      <xdr:nvSpPr>
        <xdr:cNvPr id="74" name="AutoShape 59" descr="https://registries.health.gov.il/assets/icons/valid.svg">
          <a:extLst>
            <a:ext uri="{FF2B5EF4-FFF2-40B4-BE49-F238E27FC236}">
              <a16:creationId xmlns:a16="http://schemas.microsoft.com/office/drawing/2014/main" id="{19EA24CB-ABFE-4338-9B5C-0897D5E9C2CD}"/>
            </a:ext>
          </a:extLst>
        </xdr:cNvPr>
        <xdr:cNvSpPr>
          <a:spLocks noChangeAspect="1" noChangeArrowheads="1"/>
        </xdr:cNvSpPr>
      </xdr:nvSpPr>
      <xdr:spPr bwMode="auto">
        <a:xfrm>
          <a:off x="10984222380" y="19575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133</xdr:row>
      <xdr:rowOff>0</xdr:rowOff>
    </xdr:from>
    <xdr:to>
      <xdr:col>8</xdr:col>
      <xdr:colOff>304800</xdr:colOff>
      <xdr:row>134</xdr:row>
      <xdr:rowOff>114300</xdr:rowOff>
    </xdr:to>
    <xdr:sp macro="" textlink="">
      <xdr:nvSpPr>
        <xdr:cNvPr id="75" name="AutoShape 60" descr="https://registries.health.gov.il/assets/icons/valid.svg">
          <a:extLst>
            <a:ext uri="{FF2B5EF4-FFF2-40B4-BE49-F238E27FC236}">
              <a16:creationId xmlns:a16="http://schemas.microsoft.com/office/drawing/2014/main" id="{BFDA7010-EED4-484A-8933-050810389CA7}"/>
            </a:ext>
          </a:extLst>
        </xdr:cNvPr>
        <xdr:cNvSpPr>
          <a:spLocks noChangeAspect="1" noChangeArrowheads="1"/>
        </xdr:cNvSpPr>
      </xdr:nvSpPr>
      <xdr:spPr bwMode="auto">
        <a:xfrm>
          <a:off x="10984222380" y="236067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152</xdr:row>
      <xdr:rowOff>0</xdr:rowOff>
    </xdr:from>
    <xdr:to>
      <xdr:col>8</xdr:col>
      <xdr:colOff>304800</xdr:colOff>
      <xdr:row>153</xdr:row>
      <xdr:rowOff>114300</xdr:rowOff>
    </xdr:to>
    <xdr:sp macro="" textlink="">
      <xdr:nvSpPr>
        <xdr:cNvPr id="76" name="AutoShape 61" descr="https://registries.health.gov.il/assets/icons/valid.svg">
          <a:extLst>
            <a:ext uri="{FF2B5EF4-FFF2-40B4-BE49-F238E27FC236}">
              <a16:creationId xmlns:a16="http://schemas.microsoft.com/office/drawing/2014/main" id="{65A78BE6-F2B5-4EC7-89C9-7B9AE582F765}"/>
            </a:ext>
          </a:extLst>
        </xdr:cNvPr>
        <xdr:cNvSpPr>
          <a:spLocks noChangeAspect="1" noChangeArrowheads="1"/>
        </xdr:cNvSpPr>
      </xdr:nvSpPr>
      <xdr:spPr bwMode="auto">
        <a:xfrm>
          <a:off x="10984222380" y="26936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171</xdr:row>
      <xdr:rowOff>0</xdr:rowOff>
    </xdr:from>
    <xdr:to>
      <xdr:col>8</xdr:col>
      <xdr:colOff>304800</xdr:colOff>
      <xdr:row>172</xdr:row>
      <xdr:rowOff>114300</xdr:rowOff>
    </xdr:to>
    <xdr:sp macro="" textlink="">
      <xdr:nvSpPr>
        <xdr:cNvPr id="77" name="AutoShape 62" descr="https://registries.health.gov.il/assets/icons/valid.svg">
          <a:extLst>
            <a:ext uri="{FF2B5EF4-FFF2-40B4-BE49-F238E27FC236}">
              <a16:creationId xmlns:a16="http://schemas.microsoft.com/office/drawing/2014/main" id="{BCE73EFB-708E-4A72-A8AD-A8740301A97C}"/>
            </a:ext>
          </a:extLst>
        </xdr:cNvPr>
        <xdr:cNvSpPr>
          <a:spLocks noChangeAspect="1" noChangeArrowheads="1"/>
        </xdr:cNvSpPr>
      </xdr:nvSpPr>
      <xdr:spPr bwMode="auto">
        <a:xfrm>
          <a:off x="10984222380" y="302666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194</xdr:row>
      <xdr:rowOff>0</xdr:rowOff>
    </xdr:from>
    <xdr:to>
      <xdr:col>8</xdr:col>
      <xdr:colOff>304800</xdr:colOff>
      <xdr:row>195</xdr:row>
      <xdr:rowOff>114300</xdr:rowOff>
    </xdr:to>
    <xdr:sp macro="" textlink="">
      <xdr:nvSpPr>
        <xdr:cNvPr id="78" name="AutoShape 63" descr="https://registries.health.gov.il/assets/icons/valid.svg">
          <a:extLst>
            <a:ext uri="{FF2B5EF4-FFF2-40B4-BE49-F238E27FC236}">
              <a16:creationId xmlns:a16="http://schemas.microsoft.com/office/drawing/2014/main" id="{45BC6A5E-4362-4E45-980D-E9F7FB91FE2F}"/>
            </a:ext>
          </a:extLst>
        </xdr:cNvPr>
        <xdr:cNvSpPr>
          <a:spLocks noChangeAspect="1" noChangeArrowheads="1"/>
        </xdr:cNvSpPr>
      </xdr:nvSpPr>
      <xdr:spPr bwMode="auto">
        <a:xfrm>
          <a:off x="10984222380" y="342976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205</xdr:row>
      <xdr:rowOff>0</xdr:rowOff>
    </xdr:from>
    <xdr:to>
      <xdr:col>8</xdr:col>
      <xdr:colOff>304800</xdr:colOff>
      <xdr:row>206</xdr:row>
      <xdr:rowOff>114300</xdr:rowOff>
    </xdr:to>
    <xdr:sp macro="" textlink="">
      <xdr:nvSpPr>
        <xdr:cNvPr id="79" name="AutoShape 64" descr="https://registries.health.gov.il/assets/icons/valid.svg">
          <a:extLst>
            <a:ext uri="{FF2B5EF4-FFF2-40B4-BE49-F238E27FC236}">
              <a16:creationId xmlns:a16="http://schemas.microsoft.com/office/drawing/2014/main" id="{9DAFA321-89F6-48AB-9757-266D290D207A}"/>
            </a:ext>
          </a:extLst>
        </xdr:cNvPr>
        <xdr:cNvSpPr>
          <a:spLocks noChangeAspect="1" noChangeArrowheads="1"/>
        </xdr:cNvSpPr>
      </xdr:nvSpPr>
      <xdr:spPr bwMode="auto">
        <a:xfrm>
          <a:off x="10984222380" y="36225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224</xdr:row>
      <xdr:rowOff>0</xdr:rowOff>
    </xdr:from>
    <xdr:to>
      <xdr:col>8</xdr:col>
      <xdr:colOff>304800</xdr:colOff>
      <xdr:row>225</xdr:row>
      <xdr:rowOff>114300</xdr:rowOff>
    </xdr:to>
    <xdr:sp macro="" textlink="">
      <xdr:nvSpPr>
        <xdr:cNvPr id="80" name="AutoShape 65" descr="https://registries.health.gov.il/assets/icons/valid.svg">
          <a:extLst>
            <a:ext uri="{FF2B5EF4-FFF2-40B4-BE49-F238E27FC236}">
              <a16:creationId xmlns:a16="http://schemas.microsoft.com/office/drawing/2014/main" id="{365A7540-F787-4D3F-AE14-6F3BEFD6FD32}"/>
            </a:ext>
          </a:extLst>
        </xdr:cNvPr>
        <xdr:cNvSpPr>
          <a:spLocks noChangeAspect="1" noChangeArrowheads="1"/>
        </xdr:cNvSpPr>
      </xdr:nvSpPr>
      <xdr:spPr bwMode="auto">
        <a:xfrm>
          <a:off x="10984222380" y="39555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243</xdr:row>
      <xdr:rowOff>0</xdr:rowOff>
    </xdr:from>
    <xdr:to>
      <xdr:col>8</xdr:col>
      <xdr:colOff>304800</xdr:colOff>
      <xdr:row>244</xdr:row>
      <xdr:rowOff>114300</xdr:rowOff>
    </xdr:to>
    <xdr:sp macro="" textlink="">
      <xdr:nvSpPr>
        <xdr:cNvPr id="81" name="AutoShape 66" descr="https://registries.health.gov.il/assets/icons/valid.svg">
          <a:extLst>
            <a:ext uri="{FF2B5EF4-FFF2-40B4-BE49-F238E27FC236}">
              <a16:creationId xmlns:a16="http://schemas.microsoft.com/office/drawing/2014/main" id="{234FB78F-CAD4-4633-87C8-92CB118A0EF1}"/>
            </a:ext>
          </a:extLst>
        </xdr:cNvPr>
        <xdr:cNvSpPr>
          <a:spLocks noChangeAspect="1" noChangeArrowheads="1"/>
        </xdr:cNvSpPr>
      </xdr:nvSpPr>
      <xdr:spPr bwMode="auto">
        <a:xfrm>
          <a:off x="10984222380" y="428853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266</xdr:row>
      <xdr:rowOff>0</xdr:rowOff>
    </xdr:from>
    <xdr:to>
      <xdr:col>8</xdr:col>
      <xdr:colOff>304800</xdr:colOff>
      <xdr:row>267</xdr:row>
      <xdr:rowOff>114300</xdr:rowOff>
    </xdr:to>
    <xdr:sp macro="" textlink="">
      <xdr:nvSpPr>
        <xdr:cNvPr id="82" name="AutoShape 67" descr="https://registries.health.gov.il/assets/icons/valid.svg">
          <a:extLst>
            <a:ext uri="{FF2B5EF4-FFF2-40B4-BE49-F238E27FC236}">
              <a16:creationId xmlns:a16="http://schemas.microsoft.com/office/drawing/2014/main" id="{7A5975CE-FCD3-4980-8EDE-989B19232A26}"/>
            </a:ext>
          </a:extLst>
        </xdr:cNvPr>
        <xdr:cNvSpPr>
          <a:spLocks noChangeAspect="1" noChangeArrowheads="1"/>
        </xdr:cNvSpPr>
      </xdr:nvSpPr>
      <xdr:spPr bwMode="auto">
        <a:xfrm>
          <a:off x="10984222380" y="469163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277</xdr:row>
      <xdr:rowOff>0</xdr:rowOff>
    </xdr:from>
    <xdr:to>
      <xdr:col>8</xdr:col>
      <xdr:colOff>304800</xdr:colOff>
      <xdr:row>278</xdr:row>
      <xdr:rowOff>114300</xdr:rowOff>
    </xdr:to>
    <xdr:sp macro="" textlink="">
      <xdr:nvSpPr>
        <xdr:cNvPr id="83" name="AutoShape 68" descr="https://registries.health.gov.il/assets/icons/valid_partial.svg">
          <a:extLst>
            <a:ext uri="{FF2B5EF4-FFF2-40B4-BE49-F238E27FC236}">
              <a16:creationId xmlns:a16="http://schemas.microsoft.com/office/drawing/2014/main" id="{3E4C9B6F-7A5A-4AF7-8B36-C2A67A25B6BB}"/>
            </a:ext>
          </a:extLst>
        </xdr:cNvPr>
        <xdr:cNvSpPr>
          <a:spLocks noChangeAspect="1" noChangeArrowheads="1"/>
        </xdr:cNvSpPr>
      </xdr:nvSpPr>
      <xdr:spPr bwMode="auto">
        <a:xfrm>
          <a:off x="10984222380" y="488442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292</xdr:row>
      <xdr:rowOff>0</xdr:rowOff>
    </xdr:from>
    <xdr:to>
      <xdr:col>8</xdr:col>
      <xdr:colOff>304800</xdr:colOff>
      <xdr:row>293</xdr:row>
      <xdr:rowOff>114300</xdr:rowOff>
    </xdr:to>
    <xdr:sp macro="" textlink="">
      <xdr:nvSpPr>
        <xdr:cNvPr id="84" name="AutoShape 69" descr="https://registries.health.gov.il/assets/icons/valid.svg">
          <a:extLst>
            <a:ext uri="{FF2B5EF4-FFF2-40B4-BE49-F238E27FC236}">
              <a16:creationId xmlns:a16="http://schemas.microsoft.com/office/drawing/2014/main" id="{2D51062A-BE95-4DE0-B47A-FD7636ABEA69}"/>
            </a:ext>
          </a:extLst>
        </xdr:cNvPr>
        <xdr:cNvSpPr>
          <a:spLocks noChangeAspect="1" noChangeArrowheads="1"/>
        </xdr:cNvSpPr>
      </xdr:nvSpPr>
      <xdr:spPr bwMode="auto">
        <a:xfrm>
          <a:off x="10984222380" y="514731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311</xdr:row>
      <xdr:rowOff>0</xdr:rowOff>
    </xdr:from>
    <xdr:to>
      <xdr:col>8</xdr:col>
      <xdr:colOff>304800</xdr:colOff>
      <xdr:row>312</xdr:row>
      <xdr:rowOff>114300</xdr:rowOff>
    </xdr:to>
    <xdr:sp macro="" textlink="">
      <xdr:nvSpPr>
        <xdr:cNvPr id="85" name="AutoShape 70" descr="https://registries.health.gov.il/assets/icons/valid.svg">
          <a:extLst>
            <a:ext uri="{FF2B5EF4-FFF2-40B4-BE49-F238E27FC236}">
              <a16:creationId xmlns:a16="http://schemas.microsoft.com/office/drawing/2014/main" id="{080B0A3C-25F0-4352-A152-CF2D4BF4F6F8}"/>
            </a:ext>
          </a:extLst>
        </xdr:cNvPr>
        <xdr:cNvSpPr>
          <a:spLocks noChangeAspect="1" noChangeArrowheads="1"/>
        </xdr:cNvSpPr>
      </xdr:nvSpPr>
      <xdr:spPr bwMode="auto">
        <a:xfrm>
          <a:off x="10984222380" y="548030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334</xdr:row>
      <xdr:rowOff>0</xdr:rowOff>
    </xdr:from>
    <xdr:to>
      <xdr:col>8</xdr:col>
      <xdr:colOff>304800</xdr:colOff>
      <xdr:row>335</xdr:row>
      <xdr:rowOff>114300</xdr:rowOff>
    </xdr:to>
    <xdr:sp macro="" textlink="">
      <xdr:nvSpPr>
        <xdr:cNvPr id="86" name="AutoShape 71" descr="https://registries.health.gov.il/assets/icons/valid.svg">
          <a:extLst>
            <a:ext uri="{FF2B5EF4-FFF2-40B4-BE49-F238E27FC236}">
              <a16:creationId xmlns:a16="http://schemas.microsoft.com/office/drawing/2014/main" id="{977C7C04-240B-487D-ABA0-181BFDB9D546}"/>
            </a:ext>
          </a:extLst>
        </xdr:cNvPr>
        <xdr:cNvSpPr>
          <a:spLocks noChangeAspect="1" noChangeArrowheads="1"/>
        </xdr:cNvSpPr>
      </xdr:nvSpPr>
      <xdr:spPr bwMode="auto">
        <a:xfrm>
          <a:off x="10984222380" y="588340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xdr:row>
      <xdr:rowOff>0</xdr:rowOff>
    </xdr:from>
    <xdr:to>
      <xdr:col>8</xdr:col>
      <xdr:colOff>304800</xdr:colOff>
      <xdr:row>11</xdr:row>
      <xdr:rowOff>114300</xdr:rowOff>
    </xdr:to>
    <xdr:sp macro="" textlink="">
      <xdr:nvSpPr>
        <xdr:cNvPr id="87" name="AutoShape 73" descr="https://registries.health.gov.il/assets/icons/valid.svg">
          <a:extLst>
            <a:ext uri="{FF2B5EF4-FFF2-40B4-BE49-F238E27FC236}">
              <a16:creationId xmlns:a16="http://schemas.microsoft.com/office/drawing/2014/main" id="{096BFE84-3D8F-4D8B-BB19-2AB78197930C}"/>
            </a:ext>
          </a:extLst>
        </xdr:cNvPr>
        <xdr:cNvSpPr>
          <a:spLocks noChangeAspect="1" noChangeArrowheads="1"/>
        </xdr:cNvSpPr>
      </xdr:nvSpPr>
      <xdr:spPr bwMode="auto">
        <a:xfrm>
          <a:off x="1098422238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xdr:row>
      <xdr:rowOff>0</xdr:rowOff>
    </xdr:from>
    <xdr:to>
      <xdr:col>8</xdr:col>
      <xdr:colOff>304800</xdr:colOff>
      <xdr:row>30</xdr:row>
      <xdr:rowOff>114300</xdr:rowOff>
    </xdr:to>
    <xdr:sp macro="" textlink="">
      <xdr:nvSpPr>
        <xdr:cNvPr id="88" name="AutoShape 74" descr="https://registries.health.gov.il/assets/icons/valid.svg">
          <a:extLst>
            <a:ext uri="{FF2B5EF4-FFF2-40B4-BE49-F238E27FC236}">
              <a16:creationId xmlns:a16="http://schemas.microsoft.com/office/drawing/2014/main" id="{B2E70530-2E42-40C4-B09F-3CBB9401A8D9}"/>
            </a:ext>
          </a:extLst>
        </xdr:cNvPr>
        <xdr:cNvSpPr>
          <a:spLocks noChangeAspect="1" noChangeArrowheads="1"/>
        </xdr:cNvSpPr>
      </xdr:nvSpPr>
      <xdr:spPr bwMode="auto">
        <a:xfrm>
          <a:off x="10984222380" y="5364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48</xdr:row>
      <xdr:rowOff>0</xdr:rowOff>
    </xdr:from>
    <xdr:to>
      <xdr:col>8</xdr:col>
      <xdr:colOff>304800</xdr:colOff>
      <xdr:row>49</xdr:row>
      <xdr:rowOff>114300</xdr:rowOff>
    </xdr:to>
    <xdr:sp macro="" textlink="">
      <xdr:nvSpPr>
        <xdr:cNvPr id="89" name="AutoShape 75" descr="https://registries.health.gov.il/assets/icons/valid.svg">
          <a:extLst>
            <a:ext uri="{FF2B5EF4-FFF2-40B4-BE49-F238E27FC236}">
              <a16:creationId xmlns:a16="http://schemas.microsoft.com/office/drawing/2014/main" id="{7C6BE6E9-4F0F-469B-AC16-EB9CD672EB90}"/>
            </a:ext>
          </a:extLst>
        </xdr:cNvPr>
        <xdr:cNvSpPr>
          <a:spLocks noChangeAspect="1" noChangeArrowheads="1"/>
        </xdr:cNvSpPr>
      </xdr:nvSpPr>
      <xdr:spPr bwMode="auto">
        <a:xfrm>
          <a:off x="10984222380" y="8694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59</xdr:row>
      <xdr:rowOff>0</xdr:rowOff>
    </xdr:from>
    <xdr:to>
      <xdr:col>8</xdr:col>
      <xdr:colOff>304800</xdr:colOff>
      <xdr:row>60</xdr:row>
      <xdr:rowOff>114300</xdr:rowOff>
    </xdr:to>
    <xdr:sp macro="" textlink="">
      <xdr:nvSpPr>
        <xdr:cNvPr id="90" name="AutoShape 76" descr="https://registries.health.gov.il/assets/icons/valid_partial.svg">
          <a:extLst>
            <a:ext uri="{FF2B5EF4-FFF2-40B4-BE49-F238E27FC236}">
              <a16:creationId xmlns:a16="http://schemas.microsoft.com/office/drawing/2014/main" id="{6A43DDF2-E66B-468D-AB50-A5252CED3108}"/>
            </a:ext>
          </a:extLst>
        </xdr:cNvPr>
        <xdr:cNvSpPr>
          <a:spLocks noChangeAspect="1" noChangeArrowheads="1"/>
        </xdr:cNvSpPr>
      </xdr:nvSpPr>
      <xdr:spPr bwMode="auto">
        <a:xfrm>
          <a:off x="10984222380" y="106222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114300</xdr:rowOff>
    </xdr:to>
    <xdr:sp macro="" textlink="">
      <xdr:nvSpPr>
        <xdr:cNvPr id="91" name="AutoShape 77" descr="https://registries.health.gov.il/assets/icons/valid.svg">
          <a:extLst>
            <a:ext uri="{FF2B5EF4-FFF2-40B4-BE49-F238E27FC236}">
              <a16:creationId xmlns:a16="http://schemas.microsoft.com/office/drawing/2014/main" id="{D6EB381C-85BB-4C16-AD9A-AC21DE09687A}"/>
            </a:ext>
          </a:extLst>
        </xdr:cNvPr>
        <xdr:cNvSpPr>
          <a:spLocks noChangeAspect="1" noChangeArrowheads="1"/>
        </xdr:cNvSpPr>
      </xdr:nvSpPr>
      <xdr:spPr bwMode="auto">
        <a:xfrm>
          <a:off x="10984222380" y="13266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97</xdr:row>
      <xdr:rowOff>0</xdr:rowOff>
    </xdr:from>
    <xdr:to>
      <xdr:col>8</xdr:col>
      <xdr:colOff>304800</xdr:colOff>
      <xdr:row>98</xdr:row>
      <xdr:rowOff>114300</xdr:rowOff>
    </xdr:to>
    <xdr:sp macro="" textlink="">
      <xdr:nvSpPr>
        <xdr:cNvPr id="92" name="AutoShape 78" descr="https://registries.health.gov.il/assets/icons/valid.svg">
          <a:extLst>
            <a:ext uri="{FF2B5EF4-FFF2-40B4-BE49-F238E27FC236}">
              <a16:creationId xmlns:a16="http://schemas.microsoft.com/office/drawing/2014/main" id="{28997F3A-E100-4F11-B687-9D8F4E0F21A7}"/>
            </a:ext>
          </a:extLst>
        </xdr:cNvPr>
        <xdr:cNvSpPr>
          <a:spLocks noChangeAspect="1" noChangeArrowheads="1"/>
        </xdr:cNvSpPr>
      </xdr:nvSpPr>
      <xdr:spPr bwMode="auto">
        <a:xfrm>
          <a:off x="10984222380" y="172974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120</xdr:row>
      <xdr:rowOff>0</xdr:rowOff>
    </xdr:from>
    <xdr:to>
      <xdr:col>8</xdr:col>
      <xdr:colOff>304800</xdr:colOff>
      <xdr:row>121</xdr:row>
      <xdr:rowOff>114300</xdr:rowOff>
    </xdr:to>
    <xdr:sp macro="" textlink="">
      <xdr:nvSpPr>
        <xdr:cNvPr id="93" name="AutoShape 79" descr="https://registries.health.gov.il/assets/icons/valid.svg">
          <a:extLst>
            <a:ext uri="{FF2B5EF4-FFF2-40B4-BE49-F238E27FC236}">
              <a16:creationId xmlns:a16="http://schemas.microsoft.com/office/drawing/2014/main" id="{787CC628-D4A1-43CA-ABC8-370FBF0378B6}"/>
            </a:ext>
          </a:extLst>
        </xdr:cNvPr>
        <xdr:cNvSpPr>
          <a:spLocks noChangeAspect="1" noChangeArrowheads="1"/>
        </xdr:cNvSpPr>
      </xdr:nvSpPr>
      <xdr:spPr bwMode="auto">
        <a:xfrm>
          <a:off x="10984222380" y="21328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143</xdr:row>
      <xdr:rowOff>0</xdr:rowOff>
    </xdr:from>
    <xdr:to>
      <xdr:col>8</xdr:col>
      <xdr:colOff>304800</xdr:colOff>
      <xdr:row>144</xdr:row>
      <xdr:rowOff>114300</xdr:rowOff>
    </xdr:to>
    <xdr:sp macro="" textlink="">
      <xdr:nvSpPr>
        <xdr:cNvPr id="94" name="AutoShape 80" descr="https://registries.health.gov.il/assets/icons/valid.svg">
          <a:extLst>
            <a:ext uri="{FF2B5EF4-FFF2-40B4-BE49-F238E27FC236}">
              <a16:creationId xmlns:a16="http://schemas.microsoft.com/office/drawing/2014/main" id="{DE7640B2-4995-4076-8D6E-D72FDBF9A622}"/>
            </a:ext>
          </a:extLst>
        </xdr:cNvPr>
        <xdr:cNvSpPr>
          <a:spLocks noChangeAspect="1" noChangeArrowheads="1"/>
        </xdr:cNvSpPr>
      </xdr:nvSpPr>
      <xdr:spPr bwMode="auto">
        <a:xfrm>
          <a:off x="10984222380" y="253593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162</xdr:row>
      <xdr:rowOff>0</xdr:rowOff>
    </xdr:from>
    <xdr:to>
      <xdr:col>8</xdr:col>
      <xdr:colOff>304800</xdr:colOff>
      <xdr:row>163</xdr:row>
      <xdr:rowOff>114300</xdr:rowOff>
    </xdr:to>
    <xdr:sp macro="" textlink="">
      <xdr:nvSpPr>
        <xdr:cNvPr id="95" name="AutoShape 81" descr="https://registries.health.gov.il/assets/icons/valid.svg">
          <a:extLst>
            <a:ext uri="{FF2B5EF4-FFF2-40B4-BE49-F238E27FC236}">
              <a16:creationId xmlns:a16="http://schemas.microsoft.com/office/drawing/2014/main" id="{640F658E-AA91-42B3-9431-0261844FD98D}"/>
            </a:ext>
          </a:extLst>
        </xdr:cNvPr>
        <xdr:cNvSpPr>
          <a:spLocks noChangeAspect="1" noChangeArrowheads="1"/>
        </xdr:cNvSpPr>
      </xdr:nvSpPr>
      <xdr:spPr bwMode="auto">
        <a:xfrm>
          <a:off x="10984222380" y="2868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189</xdr:row>
      <xdr:rowOff>0</xdr:rowOff>
    </xdr:from>
    <xdr:to>
      <xdr:col>8</xdr:col>
      <xdr:colOff>304800</xdr:colOff>
      <xdr:row>190</xdr:row>
      <xdr:rowOff>114300</xdr:rowOff>
    </xdr:to>
    <xdr:sp macro="" textlink="">
      <xdr:nvSpPr>
        <xdr:cNvPr id="96" name="AutoShape 82" descr="https://registries.health.gov.il/assets/icons/valid.svg">
          <a:extLst>
            <a:ext uri="{FF2B5EF4-FFF2-40B4-BE49-F238E27FC236}">
              <a16:creationId xmlns:a16="http://schemas.microsoft.com/office/drawing/2014/main" id="{A5F6FDE1-F461-406E-A19F-A40AF47B23E5}"/>
            </a:ext>
          </a:extLst>
        </xdr:cNvPr>
        <xdr:cNvSpPr>
          <a:spLocks noChangeAspect="1" noChangeArrowheads="1"/>
        </xdr:cNvSpPr>
      </xdr:nvSpPr>
      <xdr:spPr bwMode="auto">
        <a:xfrm>
          <a:off x="10984222380" y="33421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212</xdr:row>
      <xdr:rowOff>0</xdr:rowOff>
    </xdr:from>
    <xdr:to>
      <xdr:col>8</xdr:col>
      <xdr:colOff>304800</xdr:colOff>
      <xdr:row>213</xdr:row>
      <xdr:rowOff>114300</xdr:rowOff>
    </xdr:to>
    <xdr:sp macro="" textlink="">
      <xdr:nvSpPr>
        <xdr:cNvPr id="97" name="AutoShape 83" descr="https://registries.health.gov.il/assets/icons/valid.svg">
          <a:extLst>
            <a:ext uri="{FF2B5EF4-FFF2-40B4-BE49-F238E27FC236}">
              <a16:creationId xmlns:a16="http://schemas.microsoft.com/office/drawing/2014/main" id="{A0876F59-4062-427E-A07B-25C61E8002DF}"/>
            </a:ext>
          </a:extLst>
        </xdr:cNvPr>
        <xdr:cNvSpPr>
          <a:spLocks noChangeAspect="1" noChangeArrowheads="1"/>
        </xdr:cNvSpPr>
      </xdr:nvSpPr>
      <xdr:spPr bwMode="auto">
        <a:xfrm>
          <a:off x="10984222380" y="37452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231</xdr:row>
      <xdr:rowOff>0</xdr:rowOff>
    </xdr:from>
    <xdr:to>
      <xdr:col>8</xdr:col>
      <xdr:colOff>304800</xdr:colOff>
      <xdr:row>232</xdr:row>
      <xdr:rowOff>114300</xdr:rowOff>
    </xdr:to>
    <xdr:sp macro="" textlink="">
      <xdr:nvSpPr>
        <xdr:cNvPr id="98" name="AutoShape 84" descr="https://registries.health.gov.il/assets/icons/valid.svg">
          <a:extLst>
            <a:ext uri="{FF2B5EF4-FFF2-40B4-BE49-F238E27FC236}">
              <a16:creationId xmlns:a16="http://schemas.microsoft.com/office/drawing/2014/main" id="{6A8B35B4-2393-427C-A76F-D23D0F419AA0}"/>
            </a:ext>
          </a:extLst>
        </xdr:cNvPr>
        <xdr:cNvSpPr>
          <a:spLocks noChangeAspect="1" noChangeArrowheads="1"/>
        </xdr:cNvSpPr>
      </xdr:nvSpPr>
      <xdr:spPr bwMode="auto">
        <a:xfrm>
          <a:off x="10984222380" y="407822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250</xdr:row>
      <xdr:rowOff>0</xdr:rowOff>
    </xdr:from>
    <xdr:to>
      <xdr:col>8</xdr:col>
      <xdr:colOff>304800</xdr:colOff>
      <xdr:row>251</xdr:row>
      <xdr:rowOff>114300</xdr:rowOff>
    </xdr:to>
    <xdr:sp macro="" textlink="">
      <xdr:nvSpPr>
        <xdr:cNvPr id="99" name="AutoShape 85" descr="https://registries.health.gov.il/assets/icons/valid.svg">
          <a:extLst>
            <a:ext uri="{FF2B5EF4-FFF2-40B4-BE49-F238E27FC236}">
              <a16:creationId xmlns:a16="http://schemas.microsoft.com/office/drawing/2014/main" id="{0961AC0C-A0E1-476C-BBEE-49417C672763}"/>
            </a:ext>
          </a:extLst>
        </xdr:cNvPr>
        <xdr:cNvSpPr>
          <a:spLocks noChangeAspect="1" noChangeArrowheads="1"/>
        </xdr:cNvSpPr>
      </xdr:nvSpPr>
      <xdr:spPr bwMode="auto">
        <a:xfrm>
          <a:off x="10984222380" y="441121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261</xdr:row>
      <xdr:rowOff>0</xdr:rowOff>
    </xdr:from>
    <xdr:to>
      <xdr:col>8</xdr:col>
      <xdr:colOff>304800</xdr:colOff>
      <xdr:row>262</xdr:row>
      <xdr:rowOff>114300</xdr:rowOff>
    </xdr:to>
    <xdr:sp macro="" textlink="">
      <xdr:nvSpPr>
        <xdr:cNvPr id="100" name="AutoShape 86" descr="https://registries.health.gov.il/assets/icons/valid.svg">
          <a:extLst>
            <a:ext uri="{FF2B5EF4-FFF2-40B4-BE49-F238E27FC236}">
              <a16:creationId xmlns:a16="http://schemas.microsoft.com/office/drawing/2014/main" id="{5BD674F9-1C7F-478C-AFB4-D89048117182}"/>
            </a:ext>
          </a:extLst>
        </xdr:cNvPr>
        <xdr:cNvSpPr>
          <a:spLocks noChangeAspect="1" noChangeArrowheads="1"/>
        </xdr:cNvSpPr>
      </xdr:nvSpPr>
      <xdr:spPr bwMode="auto">
        <a:xfrm>
          <a:off x="10984222380" y="460400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280</xdr:row>
      <xdr:rowOff>0</xdr:rowOff>
    </xdr:from>
    <xdr:to>
      <xdr:col>8</xdr:col>
      <xdr:colOff>304800</xdr:colOff>
      <xdr:row>281</xdr:row>
      <xdr:rowOff>114300</xdr:rowOff>
    </xdr:to>
    <xdr:sp macro="" textlink="">
      <xdr:nvSpPr>
        <xdr:cNvPr id="101" name="AutoShape 87" descr="https://registries.health.gov.il/assets/icons/valid.svg">
          <a:extLst>
            <a:ext uri="{FF2B5EF4-FFF2-40B4-BE49-F238E27FC236}">
              <a16:creationId xmlns:a16="http://schemas.microsoft.com/office/drawing/2014/main" id="{D3355111-B926-47A6-87D9-D6C6645F87FB}"/>
            </a:ext>
          </a:extLst>
        </xdr:cNvPr>
        <xdr:cNvSpPr>
          <a:spLocks noChangeAspect="1" noChangeArrowheads="1"/>
        </xdr:cNvSpPr>
      </xdr:nvSpPr>
      <xdr:spPr bwMode="auto">
        <a:xfrm>
          <a:off x="10984222380" y="493699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299</xdr:row>
      <xdr:rowOff>0</xdr:rowOff>
    </xdr:from>
    <xdr:to>
      <xdr:col>8</xdr:col>
      <xdr:colOff>304800</xdr:colOff>
      <xdr:row>300</xdr:row>
      <xdr:rowOff>114300</xdr:rowOff>
    </xdr:to>
    <xdr:sp macro="" textlink="">
      <xdr:nvSpPr>
        <xdr:cNvPr id="102" name="AutoShape 88" descr="https://registries.health.gov.il/assets/icons/valid.svg">
          <a:extLst>
            <a:ext uri="{FF2B5EF4-FFF2-40B4-BE49-F238E27FC236}">
              <a16:creationId xmlns:a16="http://schemas.microsoft.com/office/drawing/2014/main" id="{FF26CB3C-98C7-4D32-83BD-A93FCF6F9DD4}"/>
            </a:ext>
          </a:extLst>
        </xdr:cNvPr>
        <xdr:cNvSpPr>
          <a:spLocks noChangeAspect="1" noChangeArrowheads="1"/>
        </xdr:cNvSpPr>
      </xdr:nvSpPr>
      <xdr:spPr bwMode="auto">
        <a:xfrm>
          <a:off x="10984222380" y="526999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318</xdr:row>
      <xdr:rowOff>0</xdr:rowOff>
    </xdr:from>
    <xdr:to>
      <xdr:col>8</xdr:col>
      <xdr:colOff>304800</xdr:colOff>
      <xdr:row>319</xdr:row>
      <xdr:rowOff>114300</xdr:rowOff>
    </xdr:to>
    <xdr:sp macro="" textlink="">
      <xdr:nvSpPr>
        <xdr:cNvPr id="103" name="AutoShape 89" descr="https://registries.health.gov.il/assets/icons/valid.svg">
          <a:extLst>
            <a:ext uri="{FF2B5EF4-FFF2-40B4-BE49-F238E27FC236}">
              <a16:creationId xmlns:a16="http://schemas.microsoft.com/office/drawing/2014/main" id="{90DD3EAF-8CEA-415B-A414-584945BB2E64}"/>
            </a:ext>
          </a:extLst>
        </xdr:cNvPr>
        <xdr:cNvSpPr>
          <a:spLocks noChangeAspect="1" noChangeArrowheads="1"/>
        </xdr:cNvSpPr>
      </xdr:nvSpPr>
      <xdr:spPr bwMode="auto">
        <a:xfrm>
          <a:off x="10984222380" y="560298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341</xdr:row>
      <xdr:rowOff>0</xdr:rowOff>
    </xdr:from>
    <xdr:to>
      <xdr:col>8</xdr:col>
      <xdr:colOff>304800</xdr:colOff>
      <xdr:row>342</xdr:row>
      <xdr:rowOff>114300</xdr:rowOff>
    </xdr:to>
    <xdr:sp macro="" textlink="">
      <xdr:nvSpPr>
        <xdr:cNvPr id="104" name="AutoShape 90" descr="https://registries.health.gov.il/assets/icons/valid.svg">
          <a:extLst>
            <a:ext uri="{FF2B5EF4-FFF2-40B4-BE49-F238E27FC236}">
              <a16:creationId xmlns:a16="http://schemas.microsoft.com/office/drawing/2014/main" id="{E7ADD746-A2CD-4DA2-A41B-D363874399D2}"/>
            </a:ext>
          </a:extLst>
        </xdr:cNvPr>
        <xdr:cNvSpPr>
          <a:spLocks noChangeAspect="1" noChangeArrowheads="1"/>
        </xdr:cNvSpPr>
      </xdr:nvSpPr>
      <xdr:spPr bwMode="auto">
        <a:xfrm>
          <a:off x="10984222380" y="600608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360</xdr:row>
      <xdr:rowOff>0</xdr:rowOff>
    </xdr:from>
    <xdr:to>
      <xdr:col>8</xdr:col>
      <xdr:colOff>304800</xdr:colOff>
      <xdr:row>361</xdr:row>
      <xdr:rowOff>114300</xdr:rowOff>
    </xdr:to>
    <xdr:sp macro="" textlink="">
      <xdr:nvSpPr>
        <xdr:cNvPr id="105" name="AutoShape 91" descr="https://registries.health.gov.il/assets/icons/valid.svg">
          <a:extLst>
            <a:ext uri="{FF2B5EF4-FFF2-40B4-BE49-F238E27FC236}">
              <a16:creationId xmlns:a16="http://schemas.microsoft.com/office/drawing/2014/main" id="{22D31AE8-0804-4590-B3BD-F102E95A1056}"/>
            </a:ext>
          </a:extLst>
        </xdr:cNvPr>
        <xdr:cNvSpPr>
          <a:spLocks noChangeAspect="1" noChangeArrowheads="1"/>
        </xdr:cNvSpPr>
      </xdr:nvSpPr>
      <xdr:spPr bwMode="auto">
        <a:xfrm>
          <a:off x="10984222380" y="63390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650667</xdr:colOff>
      <xdr:row>12</xdr:row>
      <xdr:rowOff>60960</xdr:rowOff>
    </xdr:from>
    <xdr:to>
      <xdr:col>24</xdr:col>
      <xdr:colOff>543921</xdr:colOff>
      <xdr:row>18</xdr:row>
      <xdr:rowOff>137160</xdr:rowOff>
    </xdr:to>
    <xdr:pic>
      <xdr:nvPicPr>
        <xdr:cNvPr id="106" name="תמונה 105">
          <a:extLst>
            <a:ext uri="{FF2B5EF4-FFF2-40B4-BE49-F238E27FC236}">
              <a16:creationId xmlns:a16="http://schemas.microsoft.com/office/drawing/2014/main" id="{B322A993-7603-0540-357B-8EA4543F07EF}"/>
            </a:ext>
          </a:extLst>
        </xdr:cNvPr>
        <xdr:cNvPicPr>
          <a:picLocks noChangeAspect="1"/>
        </xdr:cNvPicPr>
      </xdr:nvPicPr>
      <xdr:blipFill>
        <a:blip xmlns:r="http://schemas.openxmlformats.org/officeDocument/2006/relationships" r:embed="rId1"/>
        <a:stretch>
          <a:fillRect/>
        </a:stretch>
      </xdr:blipFill>
      <xdr:spPr>
        <a:xfrm>
          <a:off x="10970282499" y="2430780"/>
          <a:ext cx="7475154" cy="1127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6</xdr:col>
      <xdr:colOff>304800</xdr:colOff>
      <xdr:row>11</xdr:row>
      <xdr:rowOff>114300</xdr:rowOff>
    </xdr:to>
    <xdr:sp macro="" textlink="">
      <xdr:nvSpPr>
        <xdr:cNvPr id="2" name="AutoShape 1" descr="https://registries.health.gov.il/assets/icons/valid.svg">
          <a:extLst>
            <a:ext uri="{FF2B5EF4-FFF2-40B4-BE49-F238E27FC236}">
              <a16:creationId xmlns:a16="http://schemas.microsoft.com/office/drawing/2014/main" id="{BE97E0E4-6061-4EA1-BB8C-FDE91ACE3E6D}"/>
            </a:ext>
          </a:extLst>
        </xdr:cNvPr>
        <xdr:cNvSpPr>
          <a:spLocks noChangeAspect="1" noChangeArrowheads="1"/>
        </xdr:cNvSpPr>
      </xdr:nvSpPr>
      <xdr:spPr bwMode="auto">
        <a:xfrm>
          <a:off x="1098600546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xdr:row>
      <xdr:rowOff>0</xdr:rowOff>
    </xdr:from>
    <xdr:to>
      <xdr:col>6</xdr:col>
      <xdr:colOff>304800</xdr:colOff>
      <xdr:row>34</xdr:row>
      <xdr:rowOff>114300</xdr:rowOff>
    </xdr:to>
    <xdr:sp macro="" textlink="">
      <xdr:nvSpPr>
        <xdr:cNvPr id="3" name="AutoShape 2" descr="https://registries.health.gov.il/assets/icons/valid.svg">
          <a:extLst>
            <a:ext uri="{FF2B5EF4-FFF2-40B4-BE49-F238E27FC236}">
              <a16:creationId xmlns:a16="http://schemas.microsoft.com/office/drawing/2014/main" id="{123FD8C3-0243-4243-B1E2-2433507CB9E7}"/>
            </a:ext>
          </a:extLst>
        </xdr:cNvPr>
        <xdr:cNvSpPr>
          <a:spLocks noChangeAspect="1" noChangeArrowheads="1"/>
        </xdr:cNvSpPr>
      </xdr:nvSpPr>
      <xdr:spPr bwMode="auto">
        <a:xfrm>
          <a:off x="10986005460" y="60655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44</xdr:row>
      <xdr:rowOff>0</xdr:rowOff>
    </xdr:from>
    <xdr:to>
      <xdr:col>6</xdr:col>
      <xdr:colOff>304800</xdr:colOff>
      <xdr:row>45</xdr:row>
      <xdr:rowOff>114300</xdr:rowOff>
    </xdr:to>
    <xdr:sp macro="" textlink="">
      <xdr:nvSpPr>
        <xdr:cNvPr id="4" name="AutoShape 3" descr="https://registries.health.gov.il/assets/icons/valid.svg">
          <a:extLst>
            <a:ext uri="{FF2B5EF4-FFF2-40B4-BE49-F238E27FC236}">
              <a16:creationId xmlns:a16="http://schemas.microsoft.com/office/drawing/2014/main" id="{B91C7461-3072-40E2-BFF9-FB8C584A42C2}"/>
            </a:ext>
          </a:extLst>
        </xdr:cNvPr>
        <xdr:cNvSpPr>
          <a:spLocks noChangeAspect="1" noChangeArrowheads="1"/>
        </xdr:cNvSpPr>
      </xdr:nvSpPr>
      <xdr:spPr bwMode="auto">
        <a:xfrm>
          <a:off x="10986005460" y="7993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55</xdr:row>
      <xdr:rowOff>0</xdr:rowOff>
    </xdr:from>
    <xdr:to>
      <xdr:col>6</xdr:col>
      <xdr:colOff>304800</xdr:colOff>
      <xdr:row>56</xdr:row>
      <xdr:rowOff>114300</xdr:rowOff>
    </xdr:to>
    <xdr:sp macro="" textlink="">
      <xdr:nvSpPr>
        <xdr:cNvPr id="5" name="AutoShape 4" descr="https://registries.health.gov.il/assets/icons/valid.svg">
          <a:extLst>
            <a:ext uri="{FF2B5EF4-FFF2-40B4-BE49-F238E27FC236}">
              <a16:creationId xmlns:a16="http://schemas.microsoft.com/office/drawing/2014/main" id="{D6715ABB-A3B1-42BD-BF37-96A974741CEC}"/>
            </a:ext>
          </a:extLst>
        </xdr:cNvPr>
        <xdr:cNvSpPr>
          <a:spLocks noChangeAspect="1" noChangeArrowheads="1"/>
        </xdr:cNvSpPr>
      </xdr:nvSpPr>
      <xdr:spPr bwMode="auto">
        <a:xfrm>
          <a:off x="10986005460" y="99212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70</xdr:row>
      <xdr:rowOff>0</xdr:rowOff>
    </xdr:from>
    <xdr:to>
      <xdr:col>6</xdr:col>
      <xdr:colOff>304800</xdr:colOff>
      <xdr:row>71</xdr:row>
      <xdr:rowOff>114300</xdr:rowOff>
    </xdr:to>
    <xdr:sp macro="" textlink="">
      <xdr:nvSpPr>
        <xdr:cNvPr id="6" name="AutoShape 5" descr="https://registries.health.gov.il/assets/icons/valid.svg">
          <a:extLst>
            <a:ext uri="{FF2B5EF4-FFF2-40B4-BE49-F238E27FC236}">
              <a16:creationId xmlns:a16="http://schemas.microsoft.com/office/drawing/2014/main" id="{0D22BE57-805F-4110-BB9D-5C470FF7F3E7}"/>
            </a:ext>
          </a:extLst>
        </xdr:cNvPr>
        <xdr:cNvSpPr>
          <a:spLocks noChangeAspect="1" noChangeArrowheads="1"/>
        </xdr:cNvSpPr>
      </xdr:nvSpPr>
      <xdr:spPr bwMode="auto">
        <a:xfrm>
          <a:off x="10986005460" y="12565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89</xdr:row>
      <xdr:rowOff>0</xdr:rowOff>
    </xdr:from>
    <xdr:to>
      <xdr:col>6</xdr:col>
      <xdr:colOff>304800</xdr:colOff>
      <xdr:row>90</xdr:row>
      <xdr:rowOff>114300</xdr:rowOff>
    </xdr:to>
    <xdr:sp macro="" textlink="">
      <xdr:nvSpPr>
        <xdr:cNvPr id="7" name="AutoShape 6" descr="https://registries.health.gov.il/assets/icons/valid.svg">
          <a:extLst>
            <a:ext uri="{FF2B5EF4-FFF2-40B4-BE49-F238E27FC236}">
              <a16:creationId xmlns:a16="http://schemas.microsoft.com/office/drawing/2014/main" id="{280B83C9-C9C6-4EB3-AB1B-FA8C5370A698}"/>
            </a:ext>
          </a:extLst>
        </xdr:cNvPr>
        <xdr:cNvSpPr>
          <a:spLocks noChangeAspect="1" noChangeArrowheads="1"/>
        </xdr:cNvSpPr>
      </xdr:nvSpPr>
      <xdr:spPr bwMode="auto">
        <a:xfrm>
          <a:off x="10986005460" y="15895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108</xdr:row>
      <xdr:rowOff>0</xdr:rowOff>
    </xdr:from>
    <xdr:to>
      <xdr:col>6</xdr:col>
      <xdr:colOff>304800</xdr:colOff>
      <xdr:row>109</xdr:row>
      <xdr:rowOff>114300</xdr:rowOff>
    </xdr:to>
    <xdr:sp macro="" textlink="">
      <xdr:nvSpPr>
        <xdr:cNvPr id="8" name="AutoShape 7" descr="https://registries.health.gov.il/assets/icons/valid.svg">
          <a:extLst>
            <a:ext uri="{FF2B5EF4-FFF2-40B4-BE49-F238E27FC236}">
              <a16:creationId xmlns:a16="http://schemas.microsoft.com/office/drawing/2014/main" id="{98470321-2B9C-4C26-8B6C-E80C00884238}"/>
            </a:ext>
          </a:extLst>
        </xdr:cNvPr>
        <xdr:cNvSpPr>
          <a:spLocks noChangeAspect="1" noChangeArrowheads="1"/>
        </xdr:cNvSpPr>
      </xdr:nvSpPr>
      <xdr:spPr bwMode="auto">
        <a:xfrm>
          <a:off x="10986005460" y="192252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119</xdr:row>
      <xdr:rowOff>0</xdr:rowOff>
    </xdr:from>
    <xdr:to>
      <xdr:col>6</xdr:col>
      <xdr:colOff>304800</xdr:colOff>
      <xdr:row>120</xdr:row>
      <xdr:rowOff>114300</xdr:rowOff>
    </xdr:to>
    <xdr:sp macro="" textlink="">
      <xdr:nvSpPr>
        <xdr:cNvPr id="9" name="AutoShape 8" descr="https://registries.health.gov.il/assets/icons/valid.svg">
          <a:extLst>
            <a:ext uri="{FF2B5EF4-FFF2-40B4-BE49-F238E27FC236}">
              <a16:creationId xmlns:a16="http://schemas.microsoft.com/office/drawing/2014/main" id="{60E8AB78-46A2-4F27-9E71-0CD23647067F}"/>
            </a:ext>
          </a:extLst>
        </xdr:cNvPr>
        <xdr:cNvSpPr>
          <a:spLocks noChangeAspect="1" noChangeArrowheads="1"/>
        </xdr:cNvSpPr>
      </xdr:nvSpPr>
      <xdr:spPr bwMode="auto">
        <a:xfrm>
          <a:off x="10986005460" y="21153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138</xdr:row>
      <xdr:rowOff>0</xdr:rowOff>
    </xdr:from>
    <xdr:to>
      <xdr:col>6</xdr:col>
      <xdr:colOff>304800</xdr:colOff>
      <xdr:row>139</xdr:row>
      <xdr:rowOff>114300</xdr:rowOff>
    </xdr:to>
    <xdr:sp macro="" textlink="">
      <xdr:nvSpPr>
        <xdr:cNvPr id="10" name="AutoShape 9" descr="https://registries.health.gov.il/assets/icons/valid.svg">
          <a:extLst>
            <a:ext uri="{FF2B5EF4-FFF2-40B4-BE49-F238E27FC236}">
              <a16:creationId xmlns:a16="http://schemas.microsoft.com/office/drawing/2014/main" id="{B14A82F6-A832-4FD7-AB8B-40310646323E}"/>
            </a:ext>
          </a:extLst>
        </xdr:cNvPr>
        <xdr:cNvSpPr>
          <a:spLocks noChangeAspect="1" noChangeArrowheads="1"/>
        </xdr:cNvSpPr>
      </xdr:nvSpPr>
      <xdr:spPr bwMode="auto">
        <a:xfrm>
          <a:off x="10986005460" y="244830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157</xdr:row>
      <xdr:rowOff>0</xdr:rowOff>
    </xdr:from>
    <xdr:to>
      <xdr:col>6</xdr:col>
      <xdr:colOff>304800</xdr:colOff>
      <xdr:row>158</xdr:row>
      <xdr:rowOff>114300</xdr:rowOff>
    </xdr:to>
    <xdr:sp macro="" textlink="">
      <xdr:nvSpPr>
        <xdr:cNvPr id="11" name="AutoShape 10" descr="https://registries.health.gov.il/assets/icons/valid.svg">
          <a:extLst>
            <a:ext uri="{FF2B5EF4-FFF2-40B4-BE49-F238E27FC236}">
              <a16:creationId xmlns:a16="http://schemas.microsoft.com/office/drawing/2014/main" id="{78720023-1B04-48C8-911A-3F68A3A45ACE}"/>
            </a:ext>
          </a:extLst>
        </xdr:cNvPr>
        <xdr:cNvSpPr>
          <a:spLocks noChangeAspect="1" noChangeArrowheads="1"/>
        </xdr:cNvSpPr>
      </xdr:nvSpPr>
      <xdr:spPr bwMode="auto">
        <a:xfrm>
          <a:off x="10986005460" y="278130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168</xdr:row>
      <xdr:rowOff>0</xdr:rowOff>
    </xdr:from>
    <xdr:to>
      <xdr:col>6</xdr:col>
      <xdr:colOff>304800</xdr:colOff>
      <xdr:row>169</xdr:row>
      <xdr:rowOff>114300</xdr:rowOff>
    </xdr:to>
    <xdr:sp macro="" textlink="">
      <xdr:nvSpPr>
        <xdr:cNvPr id="12" name="AutoShape 11" descr="https://registries.health.gov.il/assets/icons/valid.svg">
          <a:extLst>
            <a:ext uri="{FF2B5EF4-FFF2-40B4-BE49-F238E27FC236}">
              <a16:creationId xmlns:a16="http://schemas.microsoft.com/office/drawing/2014/main" id="{A8A852BF-970C-4827-A25F-C58BF129357A}"/>
            </a:ext>
          </a:extLst>
        </xdr:cNvPr>
        <xdr:cNvSpPr>
          <a:spLocks noChangeAspect="1" noChangeArrowheads="1"/>
        </xdr:cNvSpPr>
      </xdr:nvSpPr>
      <xdr:spPr bwMode="auto">
        <a:xfrm>
          <a:off x="10986005460" y="297408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187</xdr:row>
      <xdr:rowOff>0</xdr:rowOff>
    </xdr:from>
    <xdr:to>
      <xdr:col>6</xdr:col>
      <xdr:colOff>304800</xdr:colOff>
      <xdr:row>188</xdr:row>
      <xdr:rowOff>114300</xdr:rowOff>
    </xdr:to>
    <xdr:sp macro="" textlink="">
      <xdr:nvSpPr>
        <xdr:cNvPr id="13" name="AutoShape 12" descr="https://registries.health.gov.il/assets/icons/valid.svg">
          <a:extLst>
            <a:ext uri="{FF2B5EF4-FFF2-40B4-BE49-F238E27FC236}">
              <a16:creationId xmlns:a16="http://schemas.microsoft.com/office/drawing/2014/main" id="{7E50C483-49AE-4E98-AE01-83974E7D1D95}"/>
            </a:ext>
          </a:extLst>
        </xdr:cNvPr>
        <xdr:cNvSpPr>
          <a:spLocks noChangeAspect="1" noChangeArrowheads="1"/>
        </xdr:cNvSpPr>
      </xdr:nvSpPr>
      <xdr:spPr bwMode="auto">
        <a:xfrm>
          <a:off x="10986005460" y="33070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206</xdr:row>
      <xdr:rowOff>0</xdr:rowOff>
    </xdr:from>
    <xdr:to>
      <xdr:col>6</xdr:col>
      <xdr:colOff>304800</xdr:colOff>
      <xdr:row>207</xdr:row>
      <xdr:rowOff>114300</xdr:rowOff>
    </xdr:to>
    <xdr:sp macro="" textlink="">
      <xdr:nvSpPr>
        <xdr:cNvPr id="14" name="AutoShape 13" descr="https://registries.health.gov.il/assets/icons/valid.svg">
          <a:extLst>
            <a:ext uri="{FF2B5EF4-FFF2-40B4-BE49-F238E27FC236}">
              <a16:creationId xmlns:a16="http://schemas.microsoft.com/office/drawing/2014/main" id="{910556B9-1FD3-4979-99C3-1BDA9B8266BA}"/>
            </a:ext>
          </a:extLst>
        </xdr:cNvPr>
        <xdr:cNvSpPr>
          <a:spLocks noChangeAspect="1" noChangeArrowheads="1"/>
        </xdr:cNvSpPr>
      </xdr:nvSpPr>
      <xdr:spPr bwMode="auto">
        <a:xfrm>
          <a:off x="10986005460" y="36400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217</xdr:row>
      <xdr:rowOff>0</xdr:rowOff>
    </xdr:from>
    <xdr:to>
      <xdr:col>6</xdr:col>
      <xdr:colOff>304800</xdr:colOff>
      <xdr:row>218</xdr:row>
      <xdr:rowOff>114300</xdr:rowOff>
    </xdr:to>
    <xdr:sp macro="" textlink="">
      <xdr:nvSpPr>
        <xdr:cNvPr id="15" name="AutoShape 14" descr="https://registries.health.gov.il/assets/icons/valid.svg">
          <a:extLst>
            <a:ext uri="{FF2B5EF4-FFF2-40B4-BE49-F238E27FC236}">
              <a16:creationId xmlns:a16="http://schemas.microsoft.com/office/drawing/2014/main" id="{A1D0BABE-006A-4CF9-886D-692880DA8AC5}"/>
            </a:ext>
          </a:extLst>
        </xdr:cNvPr>
        <xdr:cNvSpPr>
          <a:spLocks noChangeAspect="1" noChangeArrowheads="1"/>
        </xdr:cNvSpPr>
      </xdr:nvSpPr>
      <xdr:spPr bwMode="auto">
        <a:xfrm>
          <a:off x="10986005460" y="38328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236</xdr:row>
      <xdr:rowOff>0</xdr:rowOff>
    </xdr:from>
    <xdr:to>
      <xdr:col>6</xdr:col>
      <xdr:colOff>304800</xdr:colOff>
      <xdr:row>237</xdr:row>
      <xdr:rowOff>114300</xdr:rowOff>
    </xdr:to>
    <xdr:sp macro="" textlink="">
      <xdr:nvSpPr>
        <xdr:cNvPr id="16" name="AutoShape 15" descr="https://registries.health.gov.il/assets/icons/valid.svg">
          <a:extLst>
            <a:ext uri="{FF2B5EF4-FFF2-40B4-BE49-F238E27FC236}">
              <a16:creationId xmlns:a16="http://schemas.microsoft.com/office/drawing/2014/main" id="{7BCF3EC8-D88D-433E-A82E-B593B1872064}"/>
            </a:ext>
          </a:extLst>
        </xdr:cNvPr>
        <xdr:cNvSpPr>
          <a:spLocks noChangeAspect="1" noChangeArrowheads="1"/>
        </xdr:cNvSpPr>
      </xdr:nvSpPr>
      <xdr:spPr bwMode="auto">
        <a:xfrm>
          <a:off x="10986005460" y="41658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255</xdr:row>
      <xdr:rowOff>0</xdr:rowOff>
    </xdr:from>
    <xdr:to>
      <xdr:col>6</xdr:col>
      <xdr:colOff>304800</xdr:colOff>
      <xdr:row>256</xdr:row>
      <xdr:rowOff>114300</xdr:rowOff>
    </xdr:to>
    <xdr:sp macro="" textlink="">
      <xdr:nvSpPr>
        <xdr:cNvPr id="17" name="AutoShape 16" descr="https://registries.health.gov.il/assets/icons/valid_partial.svg">
          <a:extLst>
            <a:ext uri="{FF2B5EF4-FFF2-40B4-BE49-F238E27FC236}">
              <a16:creationId xmlns:a16="http://schemas.microsoft.com/office/drawing/2014/main" id="{D9EFCCE5-24CC-416A-AED8-06C654D89403}"/>
            </a:ext>
          </a:extLst>
        </xdr:cNvPr>
        <xdr:cNvSpPr>
          <a:spLocks noChangeAspect="1" noChangeArrowheads="1"/>
        </xdr:cNvSpPr>
      </xdr:nvSpPr>
      <xdr:spPr bwMode="auto">
        <a:xfrm>
          <a:off x="10986005460" y="44988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270</xdr:row>
      <xdr:rowOff>0</xdr:rowOff>
    </xdr:from>
    <xdr:to>
      <xdr:col>6</xdr:col>
      <xdr:colOff>304800</xdr:colOff>
      <xdr:row>271</xdr:row>
      <xdr:rowOff>114300</xdr:rowOff>
    </xdr:to>
    <xdr:sp macro="" textlink="">
      <xdr:nvSpPr>
        <xdr:cNvPr id="18" name="AutoShape 17" descr="https://registries.health.gov.il/assets/icons/valid.svg">
          <a:extLst>
            <a:ext uri="{FF2B5EF4-FFF2-40B4-BE49-F238E27FC236}">
              <a16:creationId xmlns:a16="http://schemas.microsoft.com/office/drawing/2014/main" id="{1B12956E-82BE-4CDF-9504-F1098AB3B365}"/>
            </a:ext>
          </a:extLst>
        </xdr:cNvPr>
        <xdr:cNvSpPr>
          <a:spLocks noChangeAspect="1" noChangeArrowheads="1"/>
        </xdr:cNvSpPr>
      </xdr:nvSpPr>
      <xdr:spPr bwMode="auto">
        <a:xfrm>
          <a:off x="10986005460" y="47617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289</xdr:row>
      <xdr:rowOff>0</xdr:rowOff>
    </xdr:from>
    <xdr:to>
      <xdr:col>6</xdr:col>
      <xdr:colOff>304800</xdr:colOff>
      <xdr:row>290</xdr:row>
      <xdr:rowOff>114300</xdr:rowOff>
    </xdr:to>
    <xdr:sp macro="" textlink="">
      <xdr:nvSpPr>
        <xdr:cNvPr id="19" name="AutoShape 18" descr="https://registries.health.gov.il/assets/icons/valid.svg">
          <a:extLst>
            <a:ext uri="{FF2B5EF4-FFF2-40B4-BE49-F238E27FC236}">
              <a16:creationId xmlns:a16="http://schemas.microsoft.com/office/drawing/2014/main" id="{5184F7BE-A5BD-4512-B33A-9897B1FD5306}"/>
            </a:ext>
          </a:extLst>
        </xdr:cNvPr>
        <xdr:cNvSpPr>
          <a:spLocks noChangeAspect="1" noChangeArrowheads="1"/>
        </xdr:cNvSpPr>
      </xdr:nvSpPr>
      <xdr:spPr bwMode="auto">
        <a:xfrm>
          <a:off x="10986005460" y="50947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300</xdr:row>
      <xdr:rowOff>0</xdr:rowOff>
    </xdr:from>
    <xdr:to>
      <xdr:col>6</xdr:col>
      <xdr:colOff>304800</xdr:colOff>
      <xdr:row>301</xdr:row>
      <xdr:rowOff>114300</xdr:rowOff>
    </xdr:to>
    <xdr:sp macro="" textlink="">
      <xdr:nvSpPr>
        <xdr:cNvPr id="20" name="AutoShape 19" descr="https://registries.health.gov.il/assets/icons/valid.svg">
          <a:extLst>
            <a:ext uri="{FF2B5EF4-FFF2-40B4-BE49-F238E27FC236}">
              <a16:creationId xmlns:a16="http://schemas.microsoft.com/office/drawing/2014/main" id="{937E4AA6-5944-47A4-B36A-778A0D2C9F45}"/>
            </a:ext>
          </a:extLst>
        </xdr:cNvPr>
        <xdr:cNvSpPr>
          <a:spLocks noChangeAspect="1" noChangeArrowheads="1"/>
        </xdr:cNvSpPr>
      </xdr:nvSpPr>
      <xdr:spPr bwMode="auto">
        <a:xfrm>
          <a:off x="10986005460" y="528751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319</xdr:row>
      <xdr:rowOff>0</xdr:rowOff>
    </xdr:from>
    <xdr:to>
      <xdr:col>6</xdr:col>
      <xdr:colOff>304800</xdr:colOff>
      <xdr:row>320</xdr:row>
      <xdr:rowOff>114300</xdr:rowOff>
    </xdr:to>
    <xdr:sp macro="" textlink="">
      <xdr:nvSpPr>
        <xdr:cNvPr id="21" name="AutoShape 20" descr="https://registries.health.gov.il/assets/icons/valid.svg">
          <a:extLst>
            <a:ext uri="{FF2B5EF4-FFF2-40B4-BE49-F238E27FC236}">
              <a16:creationId xmlns:a16="http://schemas.microsoft.com/office/drawing/2014/main" id="{A8EC71D7-3A9B-464F-8A60-169DB516C6D2}"/>
            </a:ext>
          </a:extLst>
        </xdr:cNvPr>
        <xdr:cNvSpPr>
          <a:spLocks noChangeAspect="1" noChangeArrowheads="1"/>
        </xdr:cNvSpPr>
      </xdr:nvSpPr>
      <xdr:spPr bwMode="auto">
        <a:xfrm>
          <a:off x="10986005460" y="56205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xdr:row>
      <xdr:rowOff>0</xdr:rowOff>
    </xdr:from>
    <xdr:to>
      <xdr:col>8</xdr:col>
      <xdr:colOff>304800</xdr:colOff>
      <xdr:row>11</xdr:row>
      <xdr:rowOff>114300</xdr:rowOff>
    </xdr:to>
    <xdr:sp macro="" textlink="">
      <xdr:nvSpPr>
        <xdr:cNvPr id="22" name="AutoShape 21" descr="https://registries.health.gov.il/assets/icons/valid.svg">
          <a:extLst>
            <a:ext uri="{FF2B5EF4-FFF2-40B4-BE49-F238E27FC236}">
              <a16:creationId xmlns:a16="http://schemas.microsoft.com/office/drawing/2014/main" id="{FD1527E4-0B93-4EEC-9103-76282E363040}"/>
            </a:ext>
          </a:extLst>
        </xdr:cNvPr>
        <xdr:cNvSpPr>
          <a:spLocks noChangeAspect="1" noChangeArrowheads="1"/>
        </xdr:cNvSpPr>
      </xdr:nvSpPr>
      <xdr:spPr bwMode="auto">
        <a:xfrm>
          <a:off x="1098422238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xdr:row>
      <xdr:rowOff>0</xdr:rowOff>
    </xdr:from>
    <xdr:to>
      <xdr:col>8</xdr:col>
      <xdr:colOff>304800</xdr:colOff>
      <xdr:row>30</xdr:row>
      <xdr:rowOff>114300</xdr:rowOff>
    </xdr:to>
    <xdr:sp macro="" textlink="">
      <xdr:nvSpPr>
        <xdr:cNvPr id="23" name="AutoShape 22" descr="https://registries.health.gov.il/assets/icons/valid.svg">
          <a:extLst>
            <a:ext uri="{FF2B5EF4-FFF2-40B4-BE49-F238E27FC236}">
              <a16:creationId xmlns:a16="http://schemas.microsoft.com/office/drawing/2014/main" id="{CC34E8FE-BB00-490C-9855-4C37EC384823}"/>
            </a:ext>
          </a:extLst>
        </xdr:cNvPr>
        <xdr:cNvSpPr>
          <a:spLocks noChangeAspect="1" noChangeArrowheads="1"/>
        </xdr:cNvSpPr>
      </xdr:nvSpPr>
      <xdr:spPr bwMode="auto">
        <a:xfrm>
          <a:off x="10984222380" y="5364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48</xdr:row>
      <xdr:rowOff>0</xdr:rowOff>
    </xdr:from>
    <xdr:to>
      <xdr:col>8</xdr:col>
      <xdr:colOff>304800</xdr:colOff>
      <xdr:row>49</xdr:row>
      <xdr:rowOff>114300</xdr:rowOff>
    </xdr:to>
    <xdr:sp macro="" textlink="">
      <xdr:nvSpPr>
        <xdr:cNvPr id="24" name="AutoShape 23" descr="https://registries.health.gov.il/assets/icons/valid.svg">
          <a:extLst>
            <a:ext uri="{FF2B5EF4-FFF2-40B4-BE49-F238E27FC236}">
              <a16:creationId xmlns:a16="http://schemas.microsoft.com/office/drawing/2014/main" id="{14B6FB3C-544E-4FE5-A9ED-D6F5C2FA8857}"/>
            </a:ext>
          </a:extLst>
        </xdr:cNvPr>
        <xdr:cNvSpPr>
          <a:spLocks noChangeAspect="1" noChangeArrowheads="1"/>
        </xdr:cNvSpPr>
      </xdr:nvSpPr>
      <xdr:spPr bwMode="auto">
        <a:xfrm>
          <a:off x="10984222380" y="8694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67</xdr:row>
      <xdr:rowOff>0</xdr:rowOff>
    </xdr:from>
    <xdr:to>
      <xdr:col>8</xdr:col>
      <xdr:colOff>304800</xdr:colOff>
      <xdr:row>68</xdr:row>
      <xdr:rowOff>114300</xdr:rowOff>
    </xdr:to>
    <xdr:sp macro="" textlink="">
      <xdr:nvSpPr>
        <xdr:cNvPr id="25" name="AutoShape 24" descr="https://registries.health.gov.il/assets/icons/valid.svg">
          <a:extLst>
            <a:ext uri="{FF2B5EF4-FFF2-40B4-BE49-F238E27FC236}">
              <a16:creationId xmlns:a16="http://schemas.microsoft.com/office/drawing/2014/main" id="{F162C31A-1DEC-41A6-A4D7-091B2107721D}"/>
            </a:ext>
          </a:extLst>
        </xdr:cNvPr>
        <xdr:cNvSpPr>
          <a:spLocks noChangeAspect="1" noChangeArrowheads="1"/>
        </xdr:cNvSpPr>
      </xdr:nvSpPr>
      <xdr:spPr bwMode="auto">
        <a:xfrm>
          <a:off x="10984222380" y="12039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86</xdr:row>
      <xdr:rowOff>0</xdr:rowOff>
    </xdr:from>
    <xdr:to>
      <xdr:col>8</xdr:col>
      <xdr:colOff>304800</xdr:colOff>
      <xdr:row>87</xdr:row>
      <xdr:rowOff>114300</xdr:rowOff>
    </xdr:to>
    <xdr:sp macro="" textlink="">
      <xdr:nvSpPr>
        <xdr:cNvPr id="26" name="AutoShape 25" descr="https://registries.health.gov.il/assets/icons/valid.svg">
          <a:extLst>
            <a:ext uri="{FF2B5EF4-FFF2-40B4-BE49-F238E27FC236}">
              <a16:creationId xmlns:a16="http://schemas.microsoft.com/office/drawing/2014/main" id="{F03AC0D4-36F7-443D-AE1B-322C1B7E61E4}"/>
            </a:ext>
          </a:extLst>
        </xdr:cNvPr>
        <xdr:cNvSpPr>
          <a:spLocks noChangeAspect="1" noChangeArrowheads="1"/>
        </xdr:cNvSpPr>
      </xdr:nvSpPr>
      <xdr:spPr bwMode="auto">
        <a:xfrm>
          <a:off x="10984222380" y="15369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105</xdr:row>
      <xdr:rowOff>0</xdr:rowOff>
    </xdr:from>
    <xdr:to>
      <xdr:col>8</xdr:col>
      <xdr:colOff>304800</xdr:colOff>
      <xdr:row>106</xdr:row>
      <xdr:rowOff>114300</xdr:rowOff>
    </xdr:to>
    <xdr:sp macro="" textlink="">
      <xdr:nvSpPr>
        <xdr:cNvPr id="27" name="AutoShape 26" descr="https://registries.health.gov.il/assets/icons/valid.svg">
          <a:extLst>
            <a:ext uri="{FF2B5EF4-FFF2-40B4-BE49-F238E27FC236}">
              <a16:creationId xmlns:a16="http://schemas.microsoft.com/office/drawing/2014/main" id="{D8896835-BDAB-4819-A547-1654D3AD2B5E}"/>
            </a:ext>
          </a:extLst>
        </xdr:cNvPr>
        <xdr:cNvSpPr>
          <a:spLocks noChangeAspect="1" noChangeArrowheads="1"/>
        </xdr:cNvSpPr>
      </xdr:nvSpPr>
      <xdr:spPr bwMode="auto">
        <a:xfrm>
          <a:off x="10984222380" y="18699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xdr:row>
      <xdr:rowOff>0</xdr:rowOff>
    </xdr:from>
    <xdr:to>
      <xdr:col>8</xdr:col>
      <xdr:colOff>304800</xdr:colOff>
      <xdr:row>28</xdr:row>
      <xdr:rowOff>114300</xdr:rowOff>
    </xdr:to>
    <xdr:sp macro="" textlink="">
      <xdr:nvSpPr>
        <xdr:cNvPr id="28" name="AutoShape 33" descr="https://registries.health.gov.il/assets/icons/valid.svg">
          <a:extLst>
            <a:ext uri="{FF2B5EF4-FFF2-40B4-BE49-F238E27FC236}">
              <a16:creationId xmlns:a16="http://schemas.microsoft.com/office/drawing/2014/main" id="{A879672A-F8EA-48B9-815C-B091C5CDB3CB}"/>
            </a:ext>
          </a:extLst>
        </xdr:cNvPr>
        <xdr:cNvSpPr>
          <a:spLocks noChangeAspect="1" noChangeArrowheads="1"/>
        </xdr:cNvSpPr>
      </xdr:nvSpPr>
      <xdr:spPr bwMode="auto">
        <a:xfrm>
          <a:off x="10984222380" y="5013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50</xdr:row>
      <xdr:rowOff>0</xdr:rowOff>
    </xdr:from>
    <xdr:to>
      <xdr:col>8</xdr:col>
      <xdr:colOff>304800</xdr:colOff>
      <xdr:row>51</xdr:row>
      <xdr:rowOff>114300</xdr:rowOff>
    </xdr:to>
    <xdr:sp macro="" textlink="">
      <xdr:nvSpPr>
        <xdr:cNvPr id="29" name="AutoShape 34" descr="https://registries.health.gov.il/assets/icons/valid.svg">
          <a:extLst>
            <a:ext uri="{FF2B5EF4-FFF2-40B4-BE49-F238E27FC236}">
              <a16:creationId xmlns:a16="http://schemas.microsoft.com/office/drawing/2014/main" id="{9D395D43-133B-4119-A822-152AAB038201}"/>
            </a:ext>
          </a:extLst>
        </xdr:cNvPr>
        <xdr:cNvSpPr>
          <a:spLocks noChangeAspect="1" noChangeArrowheads="1"/>
        </xdr:cNvSpPr>
      </xdr:nvSpPr>
      <xdr:spPr bwMode="auto">
        <a:xfrm>
          <a:off x="10984222380" y="90449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61</xdr:row>
      <xdr:rowOff>0</xdr:rowOff>
    </xdr:from>
    <xdr:to>
      <xdr:col>8</xdr:col>
      <xdr:colOff>304800</xdr:colOff>
      <xdr:row>62</xdr:row>
      <xdr:rowOff>114300</xdr:rowOff>
    </xdr:to>
    <xdr:sp macro="" textlink="">
      <xdr:nvSpPr>
        <xdr:cNvPr id="30" name="AutoShape 35" descr="https://registries.health.gov.il/assets/icons/valid.svg">
          <a:extLst>
            <a:ext uri="{FF2B5EF4-FFF2-40B4-BE49-F238E27FC236}">
              <a16:creationId xmlns:a16="http://schemas.microsoft.com/office/drawing/2014/main" id="{5E250DE0-A378-4791-8F81-F5DD231A68A7}"/>
            </a:ext>
          </a:extLst>
        </xdr:cNvPr>
        <xdr:cNvSpPr>
          <a:spLocks noChangeAspect="1" noChangeArrowheads="1"/>
        </xdr:cNvSpPr>
      </xdr:nvSpPr>
      <xdr:spPr bwMode="auto">
        <a:xfrm>
          <a:off x="10984222380" y="109804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72</xdr:row>
      <xdr:rowOff>0</xdr:rowOff>
    </xdr:from>
    <xdr:to>
      <xdr:col>8</xdr:col>
      <xdr:colOff>304800</xdr:colOff>
      <xdr:row>73</xdr:row>
      <xdr:rowOff>114300</xdr:rowOff>
    </xdr:to>
    <xdr:sp macro="" textlink="">
      <xdr:nvSpPr>
        <xdr:cNvPr id="31" name="AutoShape 36" descr="https://registries.health.gov.il/assets/icons/valid.svg">
          <a:extLst>
            <a:ext uri="{FF2B5EF4-FFF2-40B4-BE49-F238E27FC236}">
              <a16:creationId xmlns:a16="http://schemas.microsoft.com/office/drawing/2014/main" id="{5C5A13F0-1341-49CE-AB56-D1F12E24237B}"/>
            </a:ext>
          </a:extLst>
        </xdr:cNvPr>
        <xdr:cNvSpPr>
          <a:spLocks noChangeAspect="1" noChangeArrowheads="1"/>
        </xdr:cNvSpPr>
      </xdr:nvSpPr>
      <xdr:spPr bwMode="auto">
        <a:xfrm>
          <a:off x="10984222380" y="12915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87</xdr:row>
      <xdr:rowOff>0</xdr:rowOff>
    </xdr:from>
    <xdr:to>
      <xdr:col>8</xdr:col>
      <xdr:colOff>304800</xdr:colOff>
      <xdr:row>88</xdr:row>
      <xdr:rowOff>114300</xdr:rowOff>
    </xdr:to>
    <xdr:sp macro="" textlink="">
      <xdr:nvSpPr>
        <xdr:cNvPr id="32" name="AutoShape 37" descr="https://registries.health.gov.il/assets/icons/valid.svg">
          <a:extLst>
            <a:ext uri="{FF2B5EF4-FFF2-40B4-BE49-F238E27FC236}">
              <a16:creationId xmlns:a16="http://schemas.microsoft.com/office/drawing/2014/main" id="{CCC9E97C-6A56-4794-97A7-1EF09BCCEF3B}"/>
            </a:ext>
          </a:extLst>
        </xdr:cNvPr>
        <xdr:cNvSpPr>
          <a:spLocks noChangeAspect="1" noChangeArrowheads="1"/>
        </xdr:cNvSpPr>
      </xdr:nvSpPr>
      <xdr:spPr bwMode="auto">
        <a:xfrm>
          <a:off x="10984222380" y="15544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106</xdr:row>
      <xdr:rowOff>0</xdr:rowOff>
    </xdr:from>
    <xdr:to>
      <xdr:col>8</xdr:col>
      <xdr:colOff>304800</xdr:colOff>
      <xdr:row>107</xdr:row>
      <xdr:rowOff>114300</xdr:rowOff>
    </xdr:to>
    <xdr:sp macro="" textlink="">
      <xdr:nvSpPr>
        <xdr:cNvPr id="33" name="AutoShape 38" descr="https://registries.health.gov.il/assets/icons/valid.svg">
          <a:extLst>
            <a:ext uri="{FF2B5EF4-FFF2-40B4-BE49-F238E27FC236}">
              <a16:creationId xmlns:a16="http://schemas.microsoft.com/office/drawing/2014/main" id="{17F386A7-1867-4F31-9439-E4CEE30F07E3}"/>
            </a:ext>
          </a:extLst>
        </xdr:cNvPr>
        <xdr:cNvSpPr>
          <a:spLocks noChangeAspect="1" noChangeArrowheads="1"/>
        </xdr:cNvSpPr>
      </xdr:nvSpPr>
      <xdr:spPr bwMode="auto">
        <a:xfrm>
          <a:off x="10984222380" y="18874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125</xdr:row>
      <xdr:rowOff>0</xdr:rowOff>
    </xdr:from>
    <xdr:to>
      <xdr:col>8</xdr:col>
      <xdr:colOff>304800</xdr:colOff>
      <xdr:row>126</xdr:row>
      <xdr:rowOff>114300</xdr:rowOff>
    </xdr:to>
    <xdr:sp macro="" textlink="">
      <xdr:nvSpPr>
        <xdr:cNvPr id="34" name="AutoShape 39" descr="https://registries.health.gov.il/assets/icons/valid.svg">
          <a:extLst>
            <a:ext uri="{FF2B5EF4-FFF2-40B4-BE49-F238E27FC236}">
              <a16:creationId xmlns:a16="http://schemas.microsoft.com/office/drawing/2014/main" id="{CDA06174-45C4-41DA-B7A1-86F005EC7AB7}"/>
            </a:ext>
          </a:extLst>
        </xdr:cNvPr>
        <xdr:cNvSpPr>
          <a:spLocks noChangeAspect="1" noChangeArrowheads="1"/>
        </xdr:cNvSpPr>
      </xdr:nvSpPr>
      <xdr:spPr bwMode="auto">
        <a:xfrm>
          <a:off x="10984222380" y="222046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136</xdr:row>
      <xdr:rowOff>0</xdr:rowOff>
    </xdr:from>
    <xdr:to>
      <xdr:col>8</xdr:col>
      <xdr:colOff>304800</xdr:colOff>
      <xdr:row>137</xdr:row>
      <xdr:rowOff>114300</xdr:rowOff>
    </xdr:to>
    <xdr:sp macro="" textlink="">
      <xdr:nvSpPr>
        <xdr:cNvPr id="35" name="AutoShape 40" descr="https://registries.health.gov.il/assets/icons/valid.svg">
          <a:extLst>
            <a:ext uri="{FF2B5EF4-FFF2-40B4-BE49-F238E27FC236}">
              <a16:creationId xmlns:a16="http://schemas.microsoft.com/office/drawing/2014/main" id="{C2B6244E-E26A-4904-B103-C6AA5859D23F}"/>
            </a:ext>
          </a:extLst>
        </xdr:cNvPr>
        <xdr:cNvSpPr>
          <a:spLocks noChangeAspect="1" noChangeArrowheads="1"/>
        </xdr:cNvSpPr>
      </xdr:nvSpPr>
      <xdr:spPr bwMode="auto">
        <a:xfrm>
          <a:off x="10984222380" y="24132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155</xdr:row>
      <xdr:rowOff>0</xdr:rowOff>
    </xdr:from>
    <xdr:to>
      <xdr:col>8</xdr:col>
      <xdr:colOff>304800</xdr:colOff>
      <xdr:row>156</xdr:row>
      <xdr:rowOff>114300</xdr:rowOff>
    </xdr:to>
    <xdr:sp macro="" textlink="">
      <xdr:nvSpPr>
        <xdr:cNvPr id="36" name="AutoShape 41" descr="https://registries.health.gov.il/assets/icons/valid.svg">
          <a:extLst>
            <a:ext uri="{FF2B5EF4-FFF2-40B4-BE49-F238E27FC236}">
              <a16:creationId xmlns:a16="http://schemas.microsoft.com/office/drawing/2014/main" id="{FC137228-DE6A-4870-B97C-555264086B8D}"/>
            </a:ext>
          </a:extLst>
        </xdr:cNvPr>
        <xdr:cNvSpPr>
          <a:spLocks noChangeAspect="1" noChangeArrowheads="1"/>
        </xdr:cNvSpPr>
      </xdr:nvSpPr>
      <xdr:spPr bwMode="auto">
        <a:xfrm>
          <a:off x="10984222380" y="27462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174</xdr:row>
      <xdr:rowOff>0</xdr:rowOff>
    </xdr:from>
    <xdr:to>
      <xdr:col>8</xdr:col>
      <xdr:colOff>304800</xdr:colOff>
      <xdr:row>175</xdr:row>
      <xdr:rowOff>114300</xdr:rowOff>
    </xdr:to>
    <xdr:sp macro="" textlink="">
      <xdr:nvSpPr>
        <xdr:cNvPr id="37" name="AutoShape 42" descr="https://registries.health.gov.il/assets/icons/valid.svg">
          <a:extLst>
            <a:ext uri="{FF2B5EF4-FFF2-40B4-BE49-F238E27FC236}">
              <a16:creationId xmlns:a16="http://schemas.microsoft.com/office/drawing/2014/main" id="{0B400C3C-8498-4B4A-96D7-645F99582D14}"/>
            </a:ext>
          </a:extLst>
        </xdr:cNvPr>
        <xdr:cNvSpPr>
          <a:spLocks noChangeAspect="1" noChangeArrowheads="1"/>
        </xdr:cNvSpPr>
      </xdr:nvSpPr>
      <xdr:spPr bwMode="auto">
        <a:xfrm>
          <a:off x="10984222380" y="30792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185</xdr:row>
      <xdr:rowOff>0</xdr:rowOff>
    </xdr:from>
    <xdr:to>
      <xdr:col>8</xdr:col>
      <xdr:colOff>304800</xdr:colOff>
      <xdr:row>186</xdr:row>
      <xdr:rowOff>114300</xdr:rowOff>
    </xdr:to>
    <xdr:sp macro="" textlink="">
      <xdr:nvSpPr>
        <xdr:cNvPr id="38" name="AutoShape 43" descr="https://registries.health.gov.il/assets/icons/valid.svg">
          <a:extLst>
            <a:ext uri="{FF2B5EF4-FFF2-40B4-BE49-F238E27FC236}">
              <a16:creationId xmlns:a16="http://schemas.microsoft.com/office/drawing/2014/main" id="{01DD6BE2-7C64-4456-BA63-2903CA173AA7}"/>
            </a:ext>
          </a:extLst>
        </xdr:cNvPr>
        <xdr:cNvSpPr>
          <a:spLocks noChangeAspect="1" noChangeArrowheads="1"/>
        </xdr:cNvSpPr>
      </xdr:nvSpPr>
      <xdr:spPr bwMode="auto">
        <a:xfrm>
          <a:off x="10984222380" y="327202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204</xdr:row>
      <xdr:rowOff>0</xdr:rowOff>
    </xdr:from>
    <xdr:to>
      <xdr:col>8</xdr:col>
      <xdr:colOff>304800</xdr:colOff>
      <xdr:row>205</xdr:row>
      <xdr:rowOff>114300</xdr:rowOff>
    </xdr:to>
    <xdr:sp macro="" textlink="">
      <xdr:nvSpPr>
        <xdr:cNvPr id="39" name="AutoShape 44" descr="https://registries.health.gov.il/assets/icons/valid.svg">
          <a:extLst>
            <a:ext uri="{FF2B5EF4-FFF2-40B4-BE49-F238E27FC236}">
              <a16:creationId xmlns:a16="http://schemas.microsoft.com/office/drawing/2014/main" id="{F0480E79-0A61-4D45-8A0B-2EEC40E39E45}"/>
            </a:ext>
          </a:extLst>
        </xdr:cNvPr>
        <xdr:cNvSpPr>
          <a:spLocks noChangeAspect="1" noChangeArrowheads="1"/>
        </xdr:cNvSpPr>
      </xdr:nvSpPr>
      <xdr:spPr bwMode="auto">
        <a:xfrm>
          <a:off x="10984222380" y="360502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223</xdr:row>
      <xdr:rowOff>0</xdr:rowOff>
    </xdr:from>
    <xdr:to>
      <xdr:col>8</xdr:col>
      <xdr:colOff>304800</xdr:colOff>
      <xdr:row>224</xdr:row>
      <xdr:rowOff>114300</xdr:rowOff>
    </xdr:to>
    <xdr:sp macro="" textlink="">
      <xdr:nvSpPr>
        <xdr:cNvPr id="40" name="AutoShape 45" descr="https://registries.health.gov.il/assets/icons/valid.svg">
          <a:extLst>
            <a:ext uri="{FF2B5EF4-FFF2-40B4-BE49-F238E27FC236}">
              <a16:creationId xmlns:a16="http://schemas.microsoft.com/office/drawing/2014/main" id="{203A0B05-8B38-435E-AF9D-59153836DE82}"/>
            </a:ext>
          </a:extLst>
        </xdr:cNvPr>
        <xdr:cNvSpPr>
          <a:spLocks noChangeAspect="1" noChangeArrowheads="1"/>
        </xdr:cNvSpPr>
      </xdr:nvSpPr>
      <xdr:spPr bwMode="auto">
        <a:xfrm>
          <a:off x="10984222380" y="393801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234</xdr:row>
      <xdr:rowOff>0</xdr:rowOff>
    </xdr:from>
    <xdr:to>
      <xdr:col>8</xdr:col>
      <xdr:colOff>304800</xdr:colOff>
      <xdr:row>235</xdr:row>
      <xdr:rowOff>114300</xdr:rowOff>
    </xdr:to>
    <xdr:sp macro="" textlink="">
      <xdr:nvSpPr>
        <xdr:cNvPr id="41" name="AutoShape 46" descr="https://registries.health.gov.il/assets/icons/valid.svg">
          <a:extLst>
            <a:ext uri="{FF2B5EF4-FFF2-40B4-BE49-F238E27FC236}">
              <a16:creationId xmlns:a16="http://schemas.microsoft.com/office/drawing/2014/main" id="{2E05C5EF-DA86-4018-A326-73103A858038}"/>
            </a:ext>
          </a:extLst>
        </xdr:cNvPr>
        <xdr:cNvSpPr>
          <a:spLocks noChangeAspect="1" noChangeArrowheads="1"/>
        </xdr:cNvSpPr>
      </xdr:nvSpPr>
      <xdr:spPr bwMode="auto">
        <a:xfrm>
          <a:off x="10984222380" y="413080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253</xdr:row>
      <xdr:rowOff>0</xdr:rowOff>
    </xdr:from>
    <xdr:to>
      <xdr:col>8</xdr:col>
      <xdr:colOff>304800</xdr:colOff>
      <xdr:row>254</xdr:row>
      <xdr:rowOff>114300</xdr:rowOff>
    </xdr:to>
    <xdr:sp macro="" textlink="">
      <xdr:nvSpPr>
        <xdr:cNvPr id="42" name="AutoShape 47" descr="https://registries.health.gov.il/assets/icons/valid.svg">
          <a:extLst>
            <a:ext uri="{FF2B5EF4-FFF2-40B4-BE49-F238E27FC236}">
              <a16:creationId xmlns:a16="http://schemas.microsoft.com/office/drawing/2014/main" id="{02B70702-3B45-43FA-90B2-7353D2E5F273}"/>
            </a:ext>
          </a:extLst>
        </xdr:cNvPr>
        <xdr:cNvSpPr>
          <a:spLocks noChangeAspect="1" noChangeArrowheads="1"/>
        </xdr:cNvSpPr>
      </xdr:nvSpPr>
      <xdr:spPr bwMode="auto">
        <a:xfrm>
          <a:off x="10984222380" y="44637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272</xdr:row>
      <xdr:rowOff>0</xdr:rowOff>
    </xdr:from>
    <xdr:to>
      <xdr:col>8</xdr:col>
      <xdr:colOff>304800</xdr:colOff>
      <xdr:row>273</xdr:row>
      <xdr:rowOff>114300</xdr:rowOff>
    </xdr:to>
    <xdr:sp macro="" textlink="">
      <xdr:nvSpPr>
        <xdr:cNvPr id="43" name="AutoShape 48" descr="https://registries.health.gov.il/assets/icons/valid_partial.svg">
          <a:extLst>
            <a:ext uri="{FF2B5EF4-FFF2-40B4-BE49-F238E27FC236}">
              <a16:creationId xmlns:a16="http://schemas.microsoft.com/office/drawing/2014/main" id="{1ECA4A2A-41C2-465C-939E-35002F9C1DB3}"/>
            </a:ext>
          </a:extLst>
        </xdr:cNvPr>
        <xdr:cNvSpPr>
          <a:spLocks noChangeAspect="1" noChangeArrowheads="1"/>
        </xdr:cNvSpPr>
      </xdr:nvSpPr>
      <xdr:spPr bwMode="auto">
        <a:xfrm>
          <a:off x="10984222380" y="47967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287</xdr:row>
      <xdr:rowOff>0</xdr:rowOff>
    </xdr:from>
    <xdr:to>
      <xdr:col>8</xdr:col>
      <xdr:colOff>304800</xdr:colOff>
      <xdr:row>288</xdr:row>
      <xdr:rowOff>114300</xdr:rowOff>
    </xdr:to>
    <xdr:sp macro="" textlink="">
      <xdr:nvSpPr>
        <xdr:cNvPr id="44" name="AutoShape 49" descr="https://registries.health.gov.il/assets/icons/valid.svg">
          <a:extLst>
            <a:ext uri="{FF2B5EF4-FFF2-40B4-BE49-F238E27FC236}">
              <a16:creationId xmlns:a16="http://schemas.microsoft.com/office/drawing/2014/main" id="{7E38CC25-7324-47E7-B5A6-AFF10511FC1B}"/>
            </a:ext>
          </a:extLst>
        </xdr:cNvPr>
        <xdr:cNvSpPr>
          <a:spLocks noChangeAspect="1" noChangeArrowheads="1"/>
        </xdr:cNvSpPr>
      </xdr:nvSpPr>
      <xdr:spPr bwMode="auto">
        <a:xfrm>
          <a:off x="10984222380" y="505968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306</xdr:row>
      <xdr:rowOff>0</xdr:rowOff>
    </xdr:from>
    <xdr:to>
      <xdr:col>8</xdr:col>
      <xdr:colOff>304800</xdr:colOff>
      <xdr:row>307</xdr:row>
      <xdr:rowOff>114300</xdr:rowOff>
    </xdr:to>
    <xdr:sp macro="" textlink="">
      <xdr:nvSpPr>
        <xdr:cNvPr id="45" name="AutoShape 50" descr="https://registries.health.gov.il/assets/icons/valid.svg">
          <a:extLst>
            <a:ext uri="{FF2B5EF4-FFF2-40B4-BE49-F238E27FC236}">
              <a16:creationId xmlns:a16="http://schemas.microsoft.com/office/drawing/2014/main" id="{3C655DB7-7FAC-4BC4-ADF4-8046AFEEB7A2}"/>
            </a:ext>
          </a:extLst>
        </xdr:cNvPr>
        <xdr:cNvSpPr>
          <a:spLocks noChangeAspect="1" noChangeArrowheads="1"/>
        </xdr:cNvSpPr>
      </xdr:nvSpPr>
      <xdr:spPr bwMode="auto">
        <a:xfrm>
          <a:off x="10984222380" y="539267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317</xdr:row>
      <xdr:rowOff>0</xdr:rowOff>
    </xdr:from>
    <xdr:to>
      <xdr:col>8</xdr:col>
      <xdr:colOff>304800</xdr:colOff>
      <xdr:row>318</xdr:row>
      <xdr:rowOff>114300</xdr:rowOff>
    </xdr:to>
    <xdr:sp macro="" textlink="">
      <xdr:nvSpPr>
        <xdr:cNvPr id="46" name="AutoShape 51" descr="https://registries.health.gov.il/assets/icons/valid.svg">
          <a:extLst>
            <a:ext uri="{FF2B5EF4-FFF2-40B4-BE49-F238E27FC236}">
              <a16:creationId xmlns:a16="http://schemas.microsoft.com/office/drawing/2014/main" id="{BBFDE047-1173-4AB1-BB9C-1CA62FA03FCD}"/>
            </a:ext>
          </a:extLst>
        </xdr:cNvPr>
        <xdr:cNvSpPr>
          <a:spLocks noChangeAspect="1" noChangeArrowheads="1"/>
        </xdr:cNvSpPr>
      </xdr:nvSpPr>
      <xdr:spPr bwMode="auto">
        <a:xfrm>
          <a:off x="10984222380" y="55854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336</xdr:row>
      <xdr:rowOff>0</xdr:rowOff>
    </xdr:from>
    <xdr:to>
      <xdr:col>8</xdr:col>
      <xdr:colOff>304800</xdr:colOff>
      <xdr:row>337</xdr:row>
      <xdr:rowOff>114300</xdr:rowOff>
    </xdr:to>
    <xdr:sp macro="" textlink="">
      <xdr:nvSpPr>
        <xdr:cNvPr id="47" name="AutoShape 52" descr="https://registries.health.gov.il/assets/icons/valid.svg">
          <a:extLst>
            <a:ext uri="{FF2B5EF4-FFF2-40B4-BE49-F238E27FC236}">
              <a16:creationId xmlns:a16="http://schemas.microsoft.com/office/drawing/2014/main" id="{23B826F4-F2F3-498A-BFFA-2664EA7BED08}"/>
            </a:ext>
          </a:extLst>
        </xdr:cNvPr>
        <xdr:cNvSpPr>
          <a:spLocks noChangeAspect="1" noChangeArrowheads="1"/>
        </xdr:cNvSpPr>
      </xdr:nvSpPr>
      <xdr:spPr bwMode="auto">
        <a:xfrm>
          <a:off x="10984222380" y="591845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10</xdr:row>
      <xdr:rowOff>0</xdr:rowOff>
    </xdr:from>
    <xdr:ext cx="304800" cy="304800"/>
    <xdr:sp macro="" textlink="">
      <xdr:nvSpPr>
        <xdr:cNvPr id="48" name="AutoShape 33" descr="https://registries.health.gov.il/assets/icons/valid.svg">
          <a:extLst>
            <a:ext uri="{FF2B5EF4-FFF2-40B4-BE49-F238E27FC236}">
              <a16:creationId xmlns:a16="http://schemas.microsoft.com/office/drawing/2014/main" id="{587C1915-AC69-4098-9D7F-D016D12C0C74}"/>
            </a:ext>
          </a:extLst>
        </xdr:cNvPr>
        <xdr:cNvSpPr>
          <a:spLocks noChangeAspect="1" noChangeArrowheads="1"/>
        </xdr:cNvSpPr>
      </xdr:nvSpPr>
      <xdr:spPr bwMode="auto">
        <a:xfrm>
          <a:off x="10984222380" y="201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33</xdr:row>
      <xdr:rowOff>0</xdr:rowOff>
    </xdr:from>
    <xdr:ext cx="304800" cy="304800"/>
    <xdr:sp macro="" textlink="">
      <xdr:nvSpPr>
        <xdr:cNvPr id="49" name="AutoShape 34" descr="https://registries.health.gov.il/assets/icons/valid.svg">
          <a:extLst>
            <a:ext uri="{FF2B5EF4-FFF2-40B4-BE49-F238E27FC236}">
              <a16:creationId xmlns:a16="http://schemas.microsoft.com/office/drawing/2014/main" id="{4BA0DE3C-D552-44CD-BCBE-76D282B4DDB9}"/>
            </a:ext>
          </a:extLst>
        </xdr:cNvPr>
        <xdr:cNvSpPr>
          <a:spLocks noChangeAspect="1" noChangeArrowheads="1"/>
        </xdr:cNvSpPr>
      </xdr:nvSpPr>
      <xdr:spPr bwMode="auto">
        <a:xfrm>
          <a:off x="10984222380" y="606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44</xdr:row>
      <xdr:rowOff>0</xdr:rowOff>
    </xdr:from>
    <xdr:ext cx="304800" cy="304800"/>
    <xdr:sp macro="" textlink="">
      <xdr:nvSpPr>
        <xdr:cNvPr id="50" name="AutoShape 35" descr="https://registries.health.gov.il/assets/icons/valid.svg">
          <a:extLst>
            <a:ext uri="{FF2B5EF4-FFF2-40B4-BE49-F238E27FC236}">
              <a16:creationId xmlns:a16="http://schemas.microsoft.com/office/drawing/2014/main" id="{CE125880-244D-409B-A39F-C08D9BCF3B3E}"/>
            </a:ext>
          </a:extLst>
        </xdr:cNvPr>
        <xdr:cNvSpPr>
          <a:spLocks noChangeAspect="1" noChangeArrowheads="1"/>
        </xdr:cNvSpPr>
      </xdr:nvSpPr>
      <xdr:spPr bwMode="auto">
        <a:xfrm>
          <a:off x="10984222380" y="799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55</xdr:row>
      <xdr:rowOff>0</xdr:rowOff>
    </xdr:from>
    <xdr:ext cx="304800" cy="304800"/>
    <xdr:sp macro="" textlink="">
      <xdr:nvSpPr>
        <xdr:cNvPr id="51" name="AutoShape 36" descr="https://registries.health.gov.il/assets/icons/valid.svg">
          <a:extLst>
            <a:ext uri="{FF2B5EF4-FFF2-40B4-BE49-F238E27FC236}">
              <a16:creationId xmlns:a16="http://schemas.microsoft.com/office/drawing/2014/main" id="{55EE5C9F-D43A-4B04-B21A-335ABD782B3D}"/>
            </a:ext>
          </a:extLst>
        </xdr:cNvPr>
        <xdr:cNvSpPr>
          <a:spLocks noChangeAspect="1" noChangeArrowheads="1"/>
        </xdr:cNvSpPr>
      </xdr:nvSpPr>
      <xdr:spPr bwMode="auto">
        <a:xfrm>
          <a:off x="10984222380" y="9921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70</xdr:row>
      <xdr:rowOff>0</xdr:rowOff>
    </xdr:from>
    <xdr:ext cx="304800" cy="304800"/>
    <xdr:sp macro="" textlink="">
      <xdr:nvSpPr>
        <xdr:cNvPr id="52" name="AutoShape 37" descr="https://registries.health.gov.il/assets/icons/valid.svg">
          <a:extLst>
            <a:ext uri="{FF2B5EF4-FFF2-40B4-BE49-F238E27FC236}">
              <a16:creationId xmlns:a16="http://schemas.microsoft.com/office/drawing/2014/main" id="{A38AE811-142C-4E58-9442-988CC8D4EEF9}"/>
            </a:ext>
          </a:extLst>
        </xdr:cNvPr>
        <xdr:cNvSpPr>
          <a:spLocks noChangeAspect="1" noChangeArrowheads="1"/>
        </xdr:cNvSpPr>
      </xdr:nvSpPr>
      <xdr:spPr bwMode="auto">
        <a:xfrm>
          <a:off x="10984222380" y="12565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89</xdr:row>
      <xdr:rowOff>0</xdr:rowOff>
    </xdr:from>
    <xdr:ext cx="304800" cy="304800"/>
    <xdr:sp macro="" textlink="">
      <xdr:nvSpPr>
        <xdr:cNvPr id="53" name="AutoShape 38" descr="https://registries.health.gov.il/assets/icons/valid.svg">
          <a:extLst>
            <a:ext uri="{FF2B5EF4-FFF2-40B4-BE49-F238E27FC236}">
              <a16:creationId xmlns:a16="http://schemas.microsoft.com/office/drawing/2014/main" id="{CE9C9D7D-D7D1-4C4E-BEE9-7871C4BBBE3B}"/>
            </a:ext>
          </a:extLst>
        </xdr:cNvPr>
        <xdr:cNvSpPr>
          <a:spLocks noChangeAspect="1" noChangeArrowheads="1"/>
        </xdr:cNvSpPr>
      </xdr:nvSpPr>
      <xdr:spPr bwMode="auto">
        <a:xfrm>
          <a:off x="10984222380" y="15895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108</xdr:row>
      <xdr:rowOff>0</xdr:rowOff>
    </xdr:from>
    <xdr:ext cx="304800" cy="304800"/>
    <xdr:sp macro="" textlink="">
      <xdr:nvSpPr>
        <xdr:cNvPr id="54" name="AutoShape 39" descr="https://registries.health.gov.il/assets/icons/valid.svg">
          <a:extLst>
            <a:ext uri="{FF2B5EF4-FFF2-40B4-BE49-F238E27FC236}">
              <a16:creationId xmlns:a16="http://schemas.microsoft.com/office/drawing/2014/main" id="{16F7DD85-2872-46BD-BC5B-DA2B43C04FAF}"/>
            </a:ext>
          </a:extLst>
        </xdr:cNvPr>
        <xdr:cNvSpPr>
          <a:spLocks noChangeAspect="1" noChangeArrowheads="1"/>
        </xdr:cNvSpPr>
      </xdr:nvSpPr>
      <xdr:spPr bwMode="auto">
        <a:xfrm>
          <a:off x="10984222380" y="19225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119</xdr:row>
      <xdr:rowOff>0</xdr:rowOff>
    </xdr:from>
    <xdr:ext cx="304800" cy="304800"/>
    <xdr:sp macro="" textlink="">
      <xdr:nvSpPr>
        <xdr:cNvPr id="55" name="AutoShape 40" descr="https://registries.health.gov.il/assets/icons/valid.svg">
          <a:extLst>
            <a:ext uri="{FF2B5EF4-FFF2-40B4-BE49-F238E27FC236}">
              <a16:creationId xmlns:a16="http://schemas.microsoft.com/office/drawing/2014/main" id="{D35DC89F-F2C0-4FA1-A06C-AAF7B2D96D7E}"/>
            </a:ext>
          </a:extLst>
        </xdr:cNvPr>
        <xdr:cNvSpPr>
          <a:spLocks noChangeAspect="1" noChangeArrowheads="1"/>
        </xdr:cNvSpPr>
      </xdr:nvSpPr>
      <xdr:spPr bwMode="auto">
        <a:xfrm>
          <a:off x="10984222380" y="2115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xdr:row>
      <xdr:rowOff>0</xdr:rowOff>
    </xdr:from>
    <xdr:ext cx="304800" cy="304800"/>
    <xdr:sp macro="" textlink="">
      <xdr:nvSpPr>
        <xdr:cNvPr id="56" name="AutoShape 41" descr="https://registries.health.gov.il/assets/icons/valid.svg">
          <a:extLst>
            <a:ext uri="{FF2B5EF4-FFF2-40B4-BE49-F238E27FC236}">
              <a16:creationId xmlns:a16="http://schemas.microsoft.com/office/drawing/2014/main" id="{07085BE3-A94B-45CE-8DEF-1031D4DD6E33}"/>
            </a:ext>
          </a:extLst>
        </xdr:cNvPr>
        <xdr:cNvSpPr>
          <a:spLocks noChangeAspect="1" noChangeArrowheads="1"/>
        </xdr:cNvSpPr>
      </xdr:nvSpPr>
      <xdr:spPr bwMode="auto">
        <a:xfrm>
          <a:off x="10984222380" y="24483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157</xdr:row>
      <xdr:rowOff>0</xdr:rowOff>
    </xdr:from>
    <xdr:ext cx="304800" cy="304800"/>
    <xdr:sp macro="" textlink="">
      <xdr:nvSpPr>
        <xdr:cNvPr id="57" name="AutoShape 42" descr="https://registries.health.gov.il/assets/icons/valid.svg">
          <a:extLst>
            <a:ext uri="{FF2B5EF4-FFF2-40B4-BE49-F238E27FC236}">
              <a16:creationId xmlns:a16="http://schemas.microsoft.com/office/drawing/2014/main" id="{9CF487EA-513A-4670-890E-326DF5F4FBE0}"/>
            </a:ext>
          </a:extLst>
        </xdr:cNvPr>
        <xdr:cNvSpPr>
          <a:spLocks noChangeAspect="1" noChangeArrowheads="1"/>
        </xdr:cNvSpPr>
      </xdr:nvSpPr>
      <xdr:spPr bwMode="auto">
        <a:xfrm>
          <a:off x="10984222380" y="2781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168</xdr:row>
      <xdr:rowOff>0</xdr:rowOff>
    </xdr:from>
    <xdr:ext cx="304800" cy="304800"/>
    <xdr:sp macro="" textlink="">
      <xdr:nvSpPr>
        <xdr:cNvPr id="58" name="AutoShape 43" descr="https://registries.health.gov.il/assets/icons/valid.svg">
          <a:extLst>
            <a:ext uri="{FF2B5EF4-FFF2-40B4-BE49-F238E27FC236}">
              <a16:creationId xmlns:a16="http://schemas.microsoft.com/office/drawing/2014/main" id="{62969CCF-ECCF-4502-A749-F540CD477D28}"/>
            </a:ext>
          </a:extLst>
        </xdr:cNvPr>
        <xdr:cNvSpPr>
          <a:spLocks noChangeAspect="1" noChangeArrowheads="1"/>
        </xdr:cNvSpPr>
      </xdr:nvSpPr>
      <xdr:spPr bwMode="auto">
        <a:xfrm>
          <a:off x="10984222380" y="29740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187</xdr:row>
      <xdr:rowOff>0</xdr:rowOff>
    </xdr:from>
    <xdr:ext cx="304800" cy="304800"/>
    <xdr:sp macro="" textlink="">
      <xdr:nvSpPr>
        <xdr:cNvPr id="59" name="AutoShape 44" descr="https://registries.health.gov.il/assets/icons/valid.svg">
          <a:extLst>
            <a:ext uri="{FF2B5EF4-FFF2-40B4-BE49-F238E27FC236}">
              <a16:creationId xmlns:a16="http://schemas.microsoft.com/office/drawing/2014/main" id="{B39A5ADF-ECB9-44E9-94DF-0D32647EB85A}"/>
            </a:ext>
          </a:extLst>
        </xdr:cNvPr>
        <xdr:cNvSpPr>
          <a:spLocks noChangeAspect="1" noChangeArrowheads="1"/>
        </xdr:cNvSpPr>
      </xdr:nvSpPr>
      <xdr:spPr bwMode="auto">
        <a:xfrm>
          <a:off x="10984222380" y="3307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206</xdr:row>
      <xdr:rowOff>0</xdr:rowOff>
    </xdr:from>
    <xdr:ext cx="304800" cy="304800"/>
    <xdr:sp macro="" textlink="">
      <xdr:nvSpPr>
        <xdr:cNvPr id="60" name="AutoShape 45" descr="https://registries.health.gov.il/assets/icons/valid.svg">
          <a:extLst>
            <a:ext uri="{FF2B5EF4-FFF2-40B4-BE49-F238E27FC236}">
              <a16:creationId xmlns:a16="http://schemas.microsoft.com/office/drawing/2014/main" id="{69DBD6F3-5D20-40DD-A213-B4C3D620A500}"/>
            </a:ext>
          </a:extLst>
        </xdr:cNvPr>
        <xdr:cNvSpPr>
          <a:spLocks noChangeAspect="1" noChangeArrowheads="1"/>
        </xdr:cNvSpPr>
      </xdr:nvSpPr>
      <xdr:spPr bwMode="auto">
        <a:xfrm>
          <a:off x="10984222380" y="36400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217</xdr:row>
      <xdr:rowOff>0</xdr:rowOff>
    </xdr:from>
    <xdr:ext cx="304800" cy="304800"/>
    <xdr:sp macro="" textlink="">
      <xdr:nvSpPr>
        <xdr:cNvPr id="61" name="AutoShape 46" descr="https://registries.health.gov.il/assets/icons/valid.svg">
          <a:extLst>
            <a:ext uri="{FF2B5EF4-FFF2-40B4-BE49-F238E27FC236}">
              <a16:creationId xmlns:a16="http://schemas.microsoft.com/office/drawing/2014/main" id="{90425999-3DB6-4D19-8B4D-E060ECDC2BC7}"/>
            </a:ext>
          </a:extLst>
        </xdr:cNvPr>
        <xdr:cNvSpPr>
          <a:spLocks noChangeAspect="1" noChangeArrowheads="1"/>
        </xdr:cNvSpPr>
      </xdr:nvSpPr>
      <xdr:spPr bwMode="auto">
        <a:xfrm>
          <a:off x="10984222380" y="38328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236</xdr:row>
      <xdr:rowOff>0</xdr:rowOff>
    </xdr:from>
    <xdr:ext cx="304800" cy="304800"/>
    <xdr:sp macro="" textlink="">
      <xdr:nvSpPr>
        <xdr:cNvPr id="62" name="AutoShape 47" descr="https://registries.health.gov.il/assets/icons/valid.svg">
          <a:extLst>
            <a:ext uri="{FF2B5EF4-FFF2-40B4-BE49-F238E27FC236}">
              <a16:creationId xmlns:a16="http://schemas.microsoft.com/office/drawing/2014/main" id="{97DBA3B5-3949-4913-A4BA-C785DFE3525E}"/>
            </a:ext>
          </a:extLst>
        </xdr:cNvPr>
        <xdr:cNvSpPr>
          <a:spLocks noChangeAspect="1" noChangeArrowheads="1"/>
        </xdr:cNvSpPr>
      </xdr:nvSpPr>
      <xdr:spPr bwMode="auto">
        <a:xfrm>
          <a:off x="10984222380" y="41658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255</xdr:row>
      <xdr:rowOff>0</xdr:rowOff>
    </xdr:from>
    <xdr:ext cx="304800" cy="304800"/>
    <xdr:sp macro="" textlink="">
      <xdr:nvSpPr>
        <xdr:cNvPr id="63" name="AutoShape 48" descr="https://registries.health.gov.il/assets/icons/valid_partial.svg">
          <a:extLst>
            <a:ext uri="{FF2B5EF4-FFF2-40B4-BE49-F238E27FC236}">
              <a16:creationId xmlns:a16="http://schemas.microsoft.com/office/drawing/2014/main" id="{3ADE23B8-E4C8-4A6A-8902-4989A7646235}"/>
            </a:ext>
          </a:extLst>
        </xdr:cNvPr>
        <xdr:cNvSpPr>
          <a:spLocks noChangeAspect="1" noChangeArrowheads="1"/>
        </xdr:cNvSpPr>
      </xdr:nvSpPr>
      <xdr:spPr bwMode="auto">
        <a:xfrm>
          <a:off x="10984222380" y="4498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270</xdr:row>
      <xdr:rowOff>0</xdr:rowOff>
    </xdr:from>
    <xdr:ext cx="304800" cy="304800"/>
    <xdr:sp macro="" textlink="">
      <xdr:nvSpPr>
        <xdr:cNvPr id="64" name="AutoShape 49" descr="https://registries.health.gov.il/assets/icons/valid.svg">
          <a:extLst>
            <a:ext uri="{FF2B5EF4-FFF2-40B4-BE49-F238E27FC236}">
              <a16:creationId xmlns:a16="http://schemas.microsoft.com/office/drawing/2014/main" id="{A8E96DE0-16FB-42DD-A04A-0B9D88D11C42}"/>
            </a:ext>
          </a:extLst>
        </xdr:cNvPr>
        <xdr:cNvSpPr>
          <a:spLocks noChangeAspect="1" noChangeArrowheads="1"/>
        </xdr:cNvSpPr>
      </xdr:nvSpPr>
      <xdr:spPr bwMode="auto">
        <a:xfrm>
          <a:off x="10984222380" y="47617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289</xdr:row>
      <xdr:rowOff>0</xdr:rowOff>
    </xdr:from>
    <xdr:ext cx="304800" cy="304800"/>
    <xdr:sp macro="" textlink="">
      <xdr:nvSpPr>
        <xdr:cNvPr id="65" name="AutoShape 50" descr="https://registries.health.gov.il/assets/icons/valid.svg">
          <a:extLst>
            <a:ext uri="{FF2B5EF4-FFF2-40B4-BE49-F238E27FC236}">
              <a16:creationId xmlns:a16="http://schemas.microsoft.com/office/drawing/2014/main" id="{7349FF96-EE0A-49F9-AACB-DADF7A1A96FC}"/>
            </a:ext>
          </a:extLst>
        </xdr:cNvPr>
        <xdr:cNvSpPr>
          <a:spLocks noChangeAspect="1" noChangeArrowheads="1"/>
        </xdr:cNvSpPr>
      </xdr:nvSpPr>
      <xdr:spPr bwMode="auto">
        <a:xfrm>
          <a:off x="10984222380" y="50947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300</xdr:row>
      <xdr:rowOff>0</xdr:rowOff>
    </xdr:from>
    <xdr:ext cx="304800" cy="304800"/>
    <xdr:sp macro="" textlink="">
      <xdr:nvSpPr>
        <xdr:cNvPr id="66" name="AutoShape 51" descr="https://registries.health.gov.il/assets/icons/valid.svg">
          <a:extLst>
            <a:ext uri="{FF2B5EF4-FFF2-40B4-BE49-F238E27FC236}">
              <a16:creationId xmlns:a16="http://schemas.microsoft.com/office/drawing/2014/main" id="{D86AE424-C8BE-4856-9814-5FB85A033917}"/>
            </a:ext>
          </a:extLst>
        </xdr:cNvPr>
        <xdr:cNvSpPr>
          <a:spLocks noChangeAspect="1" noChangeArrowheads="1"/>
        </xdr:cNvSpPr>
      </xdr:nvSpPr>
      <xdr:spPr bwMode="auto">
        <a:xfrm>
          <a:off x="10984222380" y="528751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319</xdr:row>
      <xdr:rowOff>0</xdr:rowOff>
    </xdr:from>
    <xdr:ext cx="304800" cy="304800"/>
    <xdr:sp macro="" textlink="">
      <xdr:nvSpPr>
        <xdr:cNvPr id="67" name="AutoShape 52" descr="https://registries.health.gov.il/assets/icons/valid.svg">
          <a:extLst>
            <a:ext uri="{FF2B5EF4-FFF2-40B4-BE49-F238E27FC236}">
              <a16:creationId xmlns:a16="http://schemas.microsoft.com/office/drawing/2014/main" id="{845D33E8-A737-4DD2-AF2C-43E30BCF60DA}"/>
            </a:ext>
          </a:extLst>
        </xdr:cNvPr>
        <xdr:cNvSpPr>
          <a:spLocks noChangeAspect="1" noChangeArrowheads="1"/>
        </xdr:cNvSpPr>
      </xdr:nvSpPr>
      <xdr:spPr bwMode="auto">
        <a:xfrm>
          <a:off x="10984222380" y="5620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8</xdr:row>
      <xdr:rowOff>0</xdr:rowOff>
    </xdr:from>
    <xdr:to>
      <xdr:col>8</xdr:col>
      <xdr:colOff>304800</xdr:colOff>
      <xdr:row>9</xdr:row>
      <xdr:rowOff>114300</xdr:rowOff>
    </xdr:to>
    <xdr:sp macro="" textlink="">
      <xdr:nvSpPr>
        <xdr:cNvPr id="68" name="AutoShape 53" descr="https://registries.health.gov.il/assets/icons/valid.svg">
          <a:extLst>
            <a:ext uri="{FF2B5EF4-FFF2-40B4-BE49-F238E27FC236}">
              <a16:creationId xmlns:a16="http://schemas.microsoft.com/office/drawing/2014/main" id="{3E524615-AB1F-4FA5-8C91-FE51EC6EAE26}"/>
            </a:ext>
          </a:extLst>
        </xdr:cNvPr>
        <xdr:cNvSpPr>
          <a:spLocks noChangeAspect="1" noChangeArrowheads="1"/>
        </xdr:cNvSpPr>
      </xdr:nvSpPr>
      <xdr:spPr bwMode="auto">
        <a:xfrm>
          <a:off x="10984222380" y="1668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xdr:row>
      <xdr:rowOff>0</xdr:rowOff>
    </xdr:from>
    <xdr:to>
      <xdr:col>8</xdr:col>
      <xdr:colOff>304800</xdr:colOff>
      <xdr:row>28</xdr:row>
      <xdr:rowOff>114300</xdr:rowOff>
    </xdr:to>
    <xdr:sp macro="" textlink="">
      <xdr:nvSpPr>
        <xdr:cNvPr id="69" name="AutoShape 54" descr="https://registries.health.gov.il/assets/icons/valid.svg">
          <a:extLst>
            <a:ext uri="{FF2B5EF4-FFF2-40B4-BE49-F238E27FC236}">
              <a16:creationId xmlns:a16="http://schemas.microsoft.com/office/drawing/2014/main" id="{DFC3C3B0-5A4E-4196-B16B-CDE69139B74C}"/>
            </a:ext>
          </a:extLst>
        </xdr:cNvPr>
        <xdr:cNvSpPr>
          <a:spLocks noChangeAspect="1" noChangeArrowheads="1"/>
        </xdr:cNvSpPr>
      </xdr:nvSpPr>
      <xdr:spPr bwMode="auto">
        <a:xfrm>
          <a:off x="10984222380" y="50139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46</xdr:row>
      <xdr:rowOff>0</xdr:rowOff>
    </xdr:from>
    <xdr:to>
      <xdr:col>8</xdr:col>
      <xdr:colOff>304800</xdr:colOff>
      <xdr:row>47</xdr:row>
      <xdr:rowOff>114300</xdr:rowOff>
    </xdr:to>
    <xdr:sp macro="" textlink="">
      <xdr:nvSpPr>
        <xdr:cNvPr id="70" name="AutoShape 55" descr="https://registries.health.gov.il/assets/icons/valid.svg">
          <a:extLst>
            <a:ext uri="{FF2B5EF4-FFF2-40B4-BE49-F238E27FC236}">
              <a16:creationId xmlns:a16="http://schemas.microsoft.com/office/drawing/2014/main" id="{9A8B7C96-9126-46FB-AA20-79DA12F23591}"/>
            </a:ext>
          </a:extLst>
        </xdr:cNvPr>
        <xdr:cNvSpPr>
          <a:spLocks noChangeAspect="1" noChangeArrowheads="1"/>
        </xdr:cNvSpPr>
      </xdr:nvSpPr>
      <xdr:spPr bwMode="auto">
        <a:xfrm>
          <a:off x="10984222380" y="83439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69</xdr:row>
      <xdr:rowOff>0</xdr:rowOff>
    </xdr:from>
    <xdr:to>
      <xdr:col>8</xdr:col>
      <xdr:colOff>304800</xdr:colOff>
      <xdr:row>70</xdr:row>
      <xdr:rowOff>114300</xdr:rowOff>
    </xdr:to>
    <xdr:sp macro="" textlink="">
      <xdr:nvSpPr>
        <xdr:cNvPr id="71" name="AutoShape 56" descr="https://registries.health.gov.il/assets/icons/valid.svg">
          <a:extLst>
            <a:ext uri="{FF2B5EF4-FFF2-40B4-BE49-F238E27FC236}">
              <a16:creationId xmlns:a16="http://schemas.microsoft.com/office/drawing/2014/main" id="{7410F3F9-CE22-409B-B2A4-16494B7FBA25}"/>
            </a:ext>
          </a:extLst>
        </xdr:cNvPr>
        <xdr:cNvSpPr>
          <a:spLocks noChangeAspect="1" noChangeArrowheads="1"/>
        </xdr:cNvSpPr>
      </xdr:nvSpPr>
      <xdr:spPr bwMode="auto">
        <a:xfrm>
          <a:off x="10984222380" y="123901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88</xdr:row>
      <xdr:rowOff>0</xdr:rowOff>
    </xdr:from>
    <xdr:to>
      <xdr:col>8</xdr:col>
      <xdr:colOff>304800</xdr:colOff>
      <xdr:row>89</xdr:row>
      <xdr:rowOff>114300</xdr:rowOff>
    </xdr:to>
    <xdr:sp macro="" textlink="">
      <xdr:nvSpPr>
        <xdr:cNvPr id="72" name="AutoShape 57" descr="https://registries.health.gov.il/assets/icons/valid.svg">
          <a:extLst>
            <a:ext uri="{FF2B5EF4-FFF2-40B4-BE49-F238E27FC236}">
              <a16:creationId xmlns:a16="http://schemas.microsoft.com/office/drawing/2014/main" id="{99B71317-2A27-4E9E-B47D-BECC4B3B984F}"/>
            </a:ext>
          </a:extLst>
        </xdr:cNvPr>
        <xdr:cNvSpPr>
          <a:spLocks noChangeAspect="1" noChangeArrowheads="1"/>
        </xdr:cNvSpPr>
      </xdr:nvSpPr>
      <xdr:spPr bwMode="auto">
        <a:xfrm>
          <a:off x="10984222380" y="157200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99</xdr:row>
      <xdr:rowOff>0</xdr:rowOff>
    </xdr:from>
    <xdr:to>
      <xdr:col>8</xdr:col>
      <xdr:colOff>304800</xdr:colOff>
      <xdr:row>100</xdr:row>
      <xdr:rowOff>114300</xdr:rowOff>
    </xdr:to>
    <xdr:sp macro="" textlink="">
      <xdr:nvSpPr>
        <xdr:cNvPr id="73" name="AutoShape 58" descr="https://registries.health.gov.il/assets/icons/valid.svg">
          <a:extLst>
            <a:ext uri="{FF2B5EF4-FFF2-40B4-BE49-F238E27FC236}">
              <a16:creationId xmlns:a16="http://schemas.microsoft.com/office/drawing/2014/main" id="{91D2D023-42B3-4075-8781-A4E4858E1EA2}"/>
            </a:ext>
          </a:extLst>
        </xdr:cNvPr>
        <xdr:cNvSpPr>
          <a:spLocks noChangeAspect="1" noChangeArrowheads="1"/>
        </xdr:cNvSpPr>
      </xdr:nvSpPr>
      <xdr:spPr bwMode="auto">
        <a:xfrm>
          <a:off x="10984222380" y="176479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110</xdr:row>
      <xdr:rowOff>0</xdr:rowOff>
    </xdr:from>
    <xdr:to>
      <xdr:col>8</xdr:col>
      <xdr:colOff>304800</xdr:colOff>
      <xdr:row>111</xdr:row>
      <xdr:rowOff>114300</xdr:rowOff>
    </xdr:to>
    <xdr:sp macro="" textlink="">
      <xdr:nvSpPr>
        <xdr:cNvPr id="74" name="AutoShape 59" descr="https://registries.health.gov.il/assets/icons/valid.svg">
          <a:extLst>
            <a:ext uri="{FF2B5EF4-FFF2-40B4-BE49-F238E27FC236}">
              <a16:creationId xmlns:a16="http://schemas.microsoft.com/office/drawing/2014/main" id="{86A8F74A-7A9B-498E-A8C2-E180F75507F3}"/>
            </a:ext>
          </a:extLst>
        </xdr:cNvPr>
        <xdr:cNvSpPr>
          <a:spLocks noChangeAspect="1" noChangeArrowheads="1"/>
        </xdr:cNvSpPr>
      </xdr:nvSpPr>
      <xdr:spPr bwMode="auto">
        <a:xfrm>
          <a:off x="10984222380" y="19575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133</xdr:row>
      <xdr:rowOff>0</xdr:rowOff>
    </xdr:from>
    <xdr:to>
      <xdr:col>8</xdr:col>
      <xdr:colOff>304800</xdr:colOff>
      <xdr:row>134</xdr:row>
      <xdr:rowOff>114300</xdr:rowOff>
    </xdr:to>
    <xdr:sp macro="" textlink="">
      <xdr:nvSpPr>
        <xdr:cNvPr id="75" name="AutoShape 60" descr="https://registries.health.gov.il/assets/icons/valid.svg">
          <a:extLst>
            <a:ext uri="{FF2B5EF4-FFF2-40B4-BE49-F238E27FC236}">
              <a16:creationId xmlns:a16="http://schemas.microsoft.com/office/drawing/2014/main" id="{4C13D690-1013-44C7-8C8E-E55246B9CAE1}"/>
            </a:ext>
          </a:extLst>
        </xdr:cNvPr>
        <xdr:cNvSpPr>
          <a:spLocks noChangeAspect="1" noChangeArrowheads="1"/>
        </xdr:cNvSpPr>
      </xdr:nvSpPr>
      <xdr:spPr bwMode="auto">
        <a:xfrm>
          <a:off x="10984222380" y="236067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152</xdr:row>
      <xdr:rowOff>0</xdr:rowOff>
    </xdr:from>
    <xdr:to>
      <xdr:col>8</xdr:col>
      <xdr:colOff>304800</xdr:colOff>
      <xdr:row>153</xdr:row>
      <xdr:rowOff>114300</xdr:rowOff>
    </xdr:to>
    <xdr:sp macro="" textlink="">
      <xdr:nvSpPr>
        <xdr:cNvPr id="76" name="AutoShape 61" descr="https://registries.health.gov.il/assets/icons/valid.svg">
          <a:extLst>
            <a:ext uri="{FF2B5EF4-FFF2-40B4-BE49-F238E27FC236}">
              <a16:creationId xmlns:a16="http://schemas.microsoft.com/office/drawing/2014/main" id="{AE0A2232-0F11-474F-BD3E-C8E12EE0624B}"/>
            </a:ext>
          </a:extLst>
        </xdr:cNvPr>
        <xdr:cNvSpPr>
          <a:spLocks noChangeAspect="1" noChangeArrowheads="1"/>
        </xdr:cNvSpPr>
      </xdr:nvSpPr>
      <xdr:spPr bwMode="auto">
        <a:xfrm>
          <a:off x="10984222380" y="26936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171</xdr:row>
      <xdr:rowOff>0</xdr:rowOff>
    </xdr:from>
    <xdr:to>
      <xdr:col>8</xdr:col>
      <xdr:colOff>304800</xdr:colOff>
      <xdr:row>172</xdr:row>
      <xdr:rowOff>114300</xdr:rowOff>
    </xdr:to>
    <xdr:sp macro="" textlink="">
      <xdr:nvSpPr>
        <xdr:cNvPr id="77" name="AutoShape 62" descr="https://registries.health.gov.il/assets/icons/valid.svg">
          <a:extLst>
            <a:ext uri="{FF2B5EF4-FFF2-40B4-BE49-F238E27FC236}">
              <a16:creationId xmlns:a16="http://schemas.microsoft.com/office/drawing/2014/main" id="{F85A9474-A2B2-423C-BD0A-248AA6A69754}"/>
            </a:ext>
          </a:extLst>
        </xdr:cNvPr>
        <xdr:cNvSpPr>
          <a:spLocks noChangeAspect="1" noChangeArrowheads="1"/>
        </xdr:cNvSpPr>
      </xdr:nvSpPr>
      <xdr:spPr bwMode="auto">
        <a:xfrm>
          <a:off x="10984222380" y="302666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194</xdr:row>
      <xdr:rowOff>0</xdr:rowOff>
    </xdr:from>
    <xdr:to>
      <xdr:col>8</xdr:col>
      <xdr:colOff>304800</xdr:colOff>
      <xdr:row>195</xdr:row>
      <xdr:rowOff>114300</xdr:rowOff>
    </xdr:to>
    <xdr:sp macro="" textlink="">
      <xdr:nvSpPr>
        <xdr:cNvPr id="78" name="AutoShape 63" descr="https://registries.health.gov.il/assets/icons/valid.svg">
          <a:extLst>
            <a:ext uri="{FF2B5EF4-FFF2-40B4-BE49-F238E27FC236}">
              <a16:creationId xmlns:a16="http://schemas.microsoft.com/office/drawing/2014/main" id="{A0EC858B-7E8F-4C1D-817D-489E5AA11CEC}"/>
            </a:ext>
          </a:extLst>
        </xdr:cNvPr>
        <xdr:cNvSpPr>
          <a:spLocks noChangeAspect="1" noChangeArrowheads="1"/>
        </xdr:cNvSpPr>
      </xdr:nvSpPr>
      <xdr:spPr bwMode="auto">
        <a:xfrm>
          <a:off x="10984222380" y="342976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205</xdr:row>
      <xdr:rowOff>0</xdr:rowOff>
    </xdr:from>
    <xdr:to>
      <xdr:col>8</xdr:col>
      <xdr:colOff>304800</xdr:colOff>
      <xdr:row>206</xdr:row>
      <xdr:rowOff>114300</xdr:rowOff>
    </xdr:to>
    <xdr:sp macro="" textlink="">
      <xdr:nvSpPr>
        <xdr:cNvPr id="79" name="AutoShape 64" descr="https://registries.health.gov.il/assets/icons/valid.svg">
          <a:extLst>
            <a:ext uri="{FF2B5EF4-FFF2-40B4-BE49-F238E27FC236}">
              <a16:creationId xmlns:a16="http://schemas.microsoft.com/office/drawing/2014/main" id="{78CB11E6-19EF-4913-AAC5-F6DEF502A6B6}"/>
            </a:ext>
          </a:extLst>
        </xdr:cNvPr>
        <xdr:cNvSpPr>
          <a:spLocks noChangeAspect="1" noChangeArrowheads="1"/>
        </xdr:cNvSpPr>
      </xdr:nvSpPr>
      <xdr:spPr bwMode="auto">
        <a:xfrm>
          <a:off x="10984222380" y="36225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224</xdr:row>
      <xdr:rowOff>0</xdr:rowOff>
    </xdr:from>
    <xdr:to>
      <xdr:col>8</xdr:col>
      <xdr:colOff>304800</xdr:colOff>
      <xdr:row>225</xdr:row>
      <xdr:rowOff>114300</xdr:rowOff>
    </xdr:to>
    <xdr:sp macro="" textlink="">
      <xdr:nvSpPr>
        <xdr:cNvPr id="80" name="AutoShape 65" descr="https://registries.health.gov.il/assets/icons/valid.svg">
          <a:extLst>
            <a:ext uri="{FF2B5EF4-FFF2-40B4-BE49-F238E27FC236}">
              <a16:creationId xmlns:a16="http://schemas.microsoft.com/office/drawing/2014/main" id="{285A7206-335A-4380-B0BE-688F7189E02A}"/>
            </a:ext>
          </a:extLst>
        </xdr:cNvPr>
        <xdr:cNvSpPr>
          <a:spLocks noChangeAspect="1" noChangeArrowheads="1"/>
        </xdr:cNvSpPr>
      </xdr:nvSpPr>
      <xdr:spPr bwMode="auto">
        <a:xfrm>
          <a:off x="10984222380" y="39555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243</xdr:row>
      <xdr:rowOff>0</xdr:rowOff>
    </xdr:from>
    <xdr:to>
      <xdr:col>8</xdr:col>
      <xdr:colOff>304800</xdr:colOff>
      <xdr:row>244</xdr:row>
      <xdr:rowOff>114300</xdr:rowOff>
    </xdr:to>
    <xdr:sp macro="" textlink="">
      <xdr:nvSpPr>
        <xdr:cNvPr id="81" name="AutoShape 66" descr="https://registries.health.gov.il/assets/icons/valid.svg">
          <a:extLst>
            <a:ext uri="{FF2B5EF4-FFF2-40B4-BE49-F238E27FC236}">
              <a16:creationId xmlns:a16="http://schemas.microsoft.com/office/drawing/2014/main" id="{1A69A28C-BCDF-4AA5-A2F1-C98DD6BA6076}"/>
            </a:ext>
          </a:extLst>
        </xdr:cNvPr>
        <xdr:cNvSpPr>
          <a:spLocks noChangeAspect="1" noChangeArrowheads="1"/>
        </xdr:cNvSpPr>
      </xdr:nvSpPr>
      <xdr:spPr bwMode="auto">
        <a:xfrm>
          <a:off x="10984222380" y="428853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266</xdr:row>
      <xdr:rowOff>0</xdr:rowOff>
    </xdr:from>
    <xdr:to>
      <xdr:col>8</xdr:col>
      <xdr:colOff>304800</xdr:colOff>
      <xdr:row>267</xdr:row>
      <xdr:rowOff>114300</xdr:rowOff>
    </xdr:to>
    <xdr:sp macro="" textlink="">
      <xdr:nvSpPr>
        <xdr:cNvPr id="82" name="AutoShape 67" descr="https://registries.health.gov.il/assets/icons/valid.svg">
          <a:extLst>
            <a:ext uri="{FF2B5EF4-FFF2-40B4-BE49-F238E27FC236}">
              <a16:creationId xmlns:a16="http://schemas.microsoft.com/office/drawing/2014/main" id="{9A94324D-459A-4820-A14B-32D0C9E0F176}"/>
            </a:ext>
          </a:extLst>
        </xdr:cNvPr>
        <xdr:cNvSpPr>
          <a:spLocks noChangeAspect="1" noChangeArrowheads="1"/>
        </xdr:cNvSpPr>
      </xdr:nvSpPr>
      <xdr:spPr bwMode="auto">
        <a:xfrm>
          <a:off x="10984222380" y="469163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277</xdr:row>
      <xdr:rowOff>0</xdr:rowOff>
    </xdr:from>
    <xdr:to>
      <xdr:col>8</xdr:col>
      <xdr:colOff>304800</xdr:colOff>
      <xdr:row>278</xdr:row>
      <xdr:rowOff>114300</xdr:rowOff>
    </xdr:to>
    <xdr:sp macro="" textlink="">
      <xdr:nvSpPr>
        <xdr:cNvPr id="83" name="AutoShape 68" descr="https://registries.health.gov.il/assets/icons/valid_partial.svg">
          <a:extLst>
            <a:ext uri="{FF2B5EF4-FFF2-40B4-BE49-F238E27FC236}">
              <a16:creationId xmlns:a16="http://schemas.microsoft.com/office/drawing/2014/main" id="{E35939B2-A4EE-48E2-9D8A-317FF52DC2AC}"/>
            </a:ext>
          </a:extLst>
        </xdr:cNvPr>
        <xdr:cNvSpPr>
          <a:spLocks noChangeAspect="1" noChangeArrowheads="1"/>
        </xdr:cNvSpPr>
      </xdr:nvSpPr>
      <xdr:spPr bwMode="auto">
        <a:xfrm>
          <a:off x="10984222380" y="488442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292</xdr:row>
      <xdr:rowOff>0</xdr:rowOff>
    </xdr:from>
    <xdr:to>
      <xdr:col>8</xdr:col>
      <xdr:colOff>304800</xdr:colOff>
      <xdr:row>293</xdr:row>
      <xdr:rowOff>114300</xdr:rowOff>
    </xdr:to>
    <xdr:sp macro="" textlink="">
      <xdr:nvSpPr>
        <xdr:cNvPr id="84" name="AutoShape 69" descr="https://registries.health.gov.il/assets/icons/valid.svg">
          <a:extLst>
            <a:ext uri="{FF2B5EF4-FFF2-40B4-BE49-F238E27FC236}">
              <a16:creationId xmlns:a16="http://schemas.microsoft.com/office/drawing/2014/main" id="{9142D417-128E-4A4B-8BC0-BD8C356BAB89}"/>
            </a:ext>
          </a:extLst>
        </xdr:cNvPr>
        <xdr:cNvSpPr>
          <a:spLocks noChangeAspect="1" noChangeArrowheads="1"/>
        </xdr:cNvSpPr>
      </xdr:nvSpPr>
      <xdr:spPr bwMode="auto">
        <a:xfrm>
          <a:off x="10984222380" y="514731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311</xdr:row>
      <xdr:rowOff>0</xdr:rowOff>
    </xdr:from>
    <xdr:to>
      <xdr:col>8</xdr:col>
      <xdr:colOff>304800</xdr:colOff>
      <xdr:row>312</xdr:row>
      <xdr:rowOff>114300</xdr:rowOff>
    </xdr:to>
    <xdr:sp macro="" textlink="">
      <xdr:nvSpPr>
        <xdr:cNvPr id="85" name="AutoShape 70" descr="https://registries.health.gov.il/assets/icons/valid.svg">
          <a:extLst>
            <a:ext uri="{FF2B5EF4-FFF2-40B4-BE49-F238E27FC236}">
              <a16:creationId xmlns:a16="http://schemas.microsoft.com/office/drawing/2014/main" id="{F7DE7451-EF8A-414B-94C7-D7F9700E064F}"/>
            </a:ext>
          </a:extLst>
        </xdr:cNvPr>
        <xdr:cNvSpPr>
          <a:spLocks noChangeAspect="1" noChangeArrowheads="1"/>
        </xdr:cNvSpPr>
      </xdr:nvSpPr>
      <xdr:spPr bwMode="auto">
        <a:xfrm>
          <a:off x="10984222380" y="548030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334</xdr:row>
      <xdr:rowOff>0</xdr:rowOff>
    </xdr:from>
    <xdr:to>
      <xdr:col>8</xdr:col>
      <xdr:colOff>304800</xdr:colOff>
      <xdr:row>335</xdr:row>
      <xdr:rowOff>114300</xdr:rowOff>
    </xdr:to>
    <xdr:sp macro="" textlink="">
      <xdr:nvSpPr>
        <xdr:cNvPr id="86" name="AutoShape 71" descr="https://registries.health.gov.il/assets/icons/valid.svg">
          <a:extLst>
            <a:ext uri="{FF2B5EF4-FFF2-40B4-BE49-F238E27FC236}">
              <a16:creationId xmlns:a16="http://schemas.microsoft.com/office/drawing/2014/main" id="{80D2C280-6A4E-4679-A401-A054DBE1041C}"/>
            </a:ext>
          </a:extLst>
        </xdr:cNvPr>
        <xdr:cNvSpPr>
          <a:spLocks noChangeAspect="1" noChangeArrowheads="1"/>
        </xdr:cNvSpPr>
      </xdr:nvSpPr>
      <xdr:spPr bwMode="auto">
        <a:xfrm>
          <a:off x="10984222380" y="588340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10</xdr:row>
      <xdr:rowOff>0</xdr:rowOff>
    </xdr:from>
    <xdr:to>
      <xdr:col>8</xdr:col>
      <xdr:colOff>304800</xdr:colOff>
      <xdr:row>11</xdr:row>
      <xdr:rowOff>114300</xdr:rowOff>
    </xdr:to>
    <xdr:sp macro="" textlink="">
      <xdr:nvSpPr>
        <xdr:cNvPr id="87" name="AutoShape 73" descr="https://registries.health.gov.il/assets/icons/valid.svg">
          <a:extLst>
            <a:ext uri="{FF2B5EF4-FFF2-40B4-BE49-F238E27FC236}">
              <a16:creationId xmlns:a16="http://schemas.microsoft.com/office/drawing/2014/main" id="{D8BE0929-D25F-4F06-8C6D-61F42AD980AC}"/>
            </a:ext>
          </a:extLst>
        </xdr:cNvPr>
        <xdr:cNvSpPr>
          <a:spLocks noChangeAspect="1" noChangeArrowheads="1"/>
        </xdr:cNvSpPr>
      </xdr:nvSpPr>
      <xdr:spPr bwMode="auto">
        <a:xfrm>
          <a:off x="10984222380" y="201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xdr:row>
      <xdr:rowOff>0</xdr:rowOff>
    </xdr:from>
    <xdr:to>
      <xdr:col>8</xdr:col>
      <xdr:colOff>304800</xdr:colOff>
      <xdr:row>30</xdr:row>
      <xdr:rowOff>114300</xdr:rowOff>
    </xdr:to>
    <xdr:sp macro="" textlink="">
      <xdr:nvSpPr>
        <xdr:cNvPr id="88" name="AutoShape 74" descr="https://registries.health.gov.il/assets/icons/valid.svg">
          <a:extLst>
            <a:ext uri="{FF2B5EF4-FFF2-40B4-BE49-F238E27FC236}">
              <a16:creationId xmlns:a16="http://schemas.microsoft.com/office/drawing/2014/main" id="{DA00F969-FCB3-48F8-9BCF-5DC8C511C2AA}"/>
            </a:ext>
          </a:extLst>
        </xdr:cNvPr>
        <xdr:cNvSpPr>
          <a:spLocks noChangeAspect="1" noChangeArrowheads="1"/>
        </xdr:cNvSpPr>
      </xdr:nvSpPr>
      <xdr:spPr bwMode="auto">
        <a:xfrm>
          <a:off x="10984222380" y="53644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48</xdr:row>
      <xdr:rowOff>0</xdr:rowOff>
    </xdr:from>
    <xdr:to>
      <xdr:col>8</xdr:col>
      <xdr:colOff>304800</xdr:colOff>
      <xdr:row>49</xdr:row>
      <xdr:rowOff>114300</xdr:rowOff>
    </xdr:to>
    <xdr:sp macro="" textlink="">
      <xdr:nvSpPr>
        <xdr:cNvPr id="89" name="AutoShape 75" descr="https://registries.health.gov.il/assets/icons/valid.svg">
          <a:extLst>
            <a:ext uri="{FF2B5EF4-FFF2-40B4-BE49-F238E27FC236}">
              <a16:creationId xmlns:a16="http://schemas.microsoft.com/office/drawing/2014/main" id="{C2FDF4A0-F952-49FD-AF52-200DB202C463}"/>
            </a:ext>
          </a:extLst>
        </xdr:cNvPr>
        <xdr:cNvSpPr>
          <a:spLocks noChangeAspect="1" noChangeArrowheads="1"/>
        </xdr:cNvSpPr>
      </xdr:nvSpPr>
      <xdr:spPr bwMode="auto">
        <a:xfrm>
          <a:off x="10984222380" y="8694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59</xdr:row>
      <xdr:rowOff>0</xdr:rowOff>
    </xdr:from>
    <xdr:to>
      <xdr:col>8</xdr:col>
      <xdr:colOff>304800</xdr:colOff>
      <xdr:row>60</xdr:row>
      <xdr:rowOff>114300</xdr:rowOff>
    </xdr:to>
    <xdr:sp macro="" textlink="">
      <xdr:nvSpPr>
        <xdr:cNvPr id="90" name="AutoShape 76" descr="https://registries.health.gov.il/assets/icons/valid_partial.svg">
          <a:extLst>
            <a:ext uri="{FF2B5EF4-FFF2-40B4-BE49-F238E27FC236}">
              <a16:creationId xmlns:a16="http://schemas.microsoft.com/office/drawing/2014/main" id="{CA3E7C49-4B2E-4E41-8C4E-FBFE452FDB20}"/>
            </a:ext>
          </a:extLst>
        </xdr:cNvPr>
        <xdr:cNvSpPr>
          <a:spLocks noChangeAspect="1" noChangeArrowheads="1"/>
        </xdr:cNvSpPr>
      </xdr:nvSpPr>
      <xdr:spPr bwMode="auto">
        <a:xfrm>
          <a:off x="10984222380" y="106222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114300</xdr:rowOff>
    </xdr:to>
    <xdr:sp macro="" textlink="">
      <xdr:nvSpPr>
        <xdr:cNvPr id="91" name="AutoShape 77" descr="https://registries.health.gov.il/assets/icons/valid.svg">
          <a:extLst>
            <a:ext uri="{FF2B5EF4-FFF2-40B4-BE49-F238E27FC236}">
              <a16:creationId xmlns:a16="http://schemas.microsoft.com/office/drawing/2014/main" id="{B91C7696-B937-4AE9-BA46-105E42D8A34F}"/>
            </a:ext>
          </a:extLst>
        </xdr:cNvPr>
        <xdr:cNvSpPr>
          <a:spLocks noChangeAspect="1" noChangeArrowheads="1"/>
        </xdr:cNvSpPr>
      </xdr:nvSpPr>
      <xdr:spPr bwMode="auto">
        <a:xfrm>
          <a:off x="10984222380" y="132664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97</xdr:row>
      <xdr:rowOff>0</xdr:rowOff>
    </xdr:from>
    <xdr:to>
      <xdr:col>8</xdr:col>
      <xdr:colOff>304800</xdr:colOff>
      <xdr:row>98</xdr:row>
      <xdr:rowOff>114300</xdr:rowOff>
    </xdr:to>
    <xdr:sp macro="" textlink="">
      <xdr:nvSpPr>
        <xdr:cNvPr id="92" name="AutoShape 78" descr="https://registries.health.gov.il/assets/icons/valid.svg">
          <a:extLst>
            <a:ext uri="{FF2B5EF4-FFF2-40B4-BE49-F238E27FC236}">
              <a16:creationId xmlns:a16="http://schemas.microsoft.com/office/drawing/2014/main" id="{A9E9B816-2493-40F6-A904-1FD8C2CD887B}"/>
            </a:ext>
          </a:extLst>
        </xdr:cNvPr>
        <xdr:cNvSpPr>
          <a:spLocks noChangeAspect="1" noChangeArrowheads="1"/>
        </xdr:cNvSpPr>
      </xdr:nvSpPr>
      <xdr:spPr bwMode="auto">
        <a:xfrm>
          <a:off x="10984222380" y="172974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120</xdr:row>
      <xdr:rowOff>0</xdr:rowOff>
    </xdr:from>
    <xdr:to>
      <xdr:col>8</xdr:col>
      <xdr:colOff>304800</xdr:colOff>
      <xdr:row>121</xdr:row>
      <xdr:rowOff>114300</xdr:rowOff>
    </xdr:to>
    <xdr:sp macro="" textlink="">
      <xdr:nvSpPr>
        <xdr:cNvPr id="93" name="AutoShape 79" descr="https://registries.health.gov.il/assets/icons/valid.svg">
          <a:extLst>
            <a:ext uri="{FF2B5EF4-FFF2-40B4-BE49-F238E27FC236}">
              <a16:creationId xmlns:a16="http://schemas.microsoft.com/office/drawing/2014/main" id="{0F47B078-18E7-4FA0-8A97-A44AE1518586}"/>
            </a:ext>
          </a:extLst>
        </xdr:cNvPr>
        <xdr:cNvSpPr>
          <a:spLocks noChangeAspect="1" noChangeArrowheads="1"/>
        </xdr:cNvSpPr>
      </xdr:nvSpPr>
      <xdr:spPr bwMode="auto">
        <a:xfrm>
          <a:off x="10984222380" y="213283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143</xdr:row>
      <xdr:rowOff>0</xdr:rowOff>
    </xdr:from>
    <xdr:to>
      <xdr:col>8</xdr:col>
      <xdr:colOff>304800</xdr:colOff>
      <xdr:row>144</xdr:row>
      <xdr:rowOff>114300</xdr:rowOff>
    </xdr:to>
    <xdr:sp macro="" textlink="">
      <xdr:nvSpPr>
        <xdr:cNvPr id="94" name="AutoShape 80" descr="https://registries.health.gov.il/assets/icons/valid.svg">
          <a:extLst>
            <a:ext uri="{FF2B5EF4-FFF2-40B4-BE49-F238E27FC236}">
              <a16:creationId xmlns:a16="http://schemas.microsoft.com/office/drawing/2014/main" id="{1DA23BE6-7F6A-4909-A8A9-181E3F88EC4E}"/>
            </a:ext>
          </a:extLst>
        </xdr:cNvPr>
        <xdr:cNvSpPr>
          <a:spLocks noChangeAspect="1" noChangeArrowheads="1"/>
        </xdr:cNvSpPr>
      </xdr:nvSpPr>
      <xdr:spPr bwMode="auto">
        <a:xfrm>
          <a:off x="10984222380" y="253593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162</xdr:row>
      <xdr:rowOff>0</xdr:rowOff>
    </xdr:from>
    <xdr:to>
      <xdr:col>8</xdr:col>
      <xdr:colOff>304800</xdr:colOff>
      <xdr:row>163</xdr:row>
      <xdr:rowOff>114300</xdr:rowOff>
    </xdr:to>
    <xdr:sp macro="" textlink="">
      <xdr:nvSpPr>
        <xdr:cNvPr id="95" name="AutoShape 81" descr="https://registries.health.gov.il/assets/icons/valid.svg">
          <a:extLst>
            <a:ext uri="{FF2B5EF4-FFF2-40B4-BE49-F238E27FC236}">
              <a16:creationId xmlns:a16="http://schemas.microsoft.com/office/drawing/2014/main" id="{BFC993D5-04E6-4971-9402-9CE88E2859D5}"/>
            </a:ext>
          </a:extLst>
        </xdr:cNvPr>
        <xdr:cNvSpPr>
          <a:spLocks noChangeAspect="1" noChangeArrowheads="1"/>
        </xdr:cNvSpPr>
      </xdr:nvSpPr>
      <xdr:spPr bwMode="auto">
        <a:xfrm>
          <a:off x="10984222380" y="28689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189</xdr:row>
      <xdr:rowOff>0</xdr:rowOff>
    </xdr:from>
    <xdr:to>
      <xdr:col>8</xdr:col>
      <xdr:colOff>304800</xdr:colOff>
      <xdr:row>190</xdr:row>
      <xdr:rowOff>114300</xdr:rowOff>
    </xdr:to>
    <xdr:sp macro="" textlink="">
      <xdr:nvSpPr>
        <xdr:cNvPr id="96" name="AutoShape 82" descr="https://registries.health.gov.il/assets/icons/valid.svg">
          <a:extLst>
            <a:ext uri="{FF2B5EF4-FFF2-40B4-BE49-F238E27FC236}">
              <a16:creationId xmlns:a16="http://schemas.microsoft.com/office/drawing/2014/main" id="{856BA6B6-A1EB-409C-8EB5-49393748DD61}"/>
            </a:ext>
          </a:extLst>
        </xdr:cNvPr>
        <xdr:cNvSpPr>
          <a:spLocks noChangeAspect="1" noChangeArrowheads="1"/>
        </xdr:cNvSpPr>
      </xdr:nvSpPr>
      <xdr:spPr bwMode="auto">
        <a:xfrm>
          <a:off x="10984222380" y="334213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212</xdr:row>
      <xdr:rowOff>0</xdr:rowOff>
    </xdr:from>
    <xdr:to>
      <xdr:col>8</xdr:col>
      <xdr:colOff>304800</xdr:colOff>
      <xdr:row>213</xdr:row>
      <xdr:rowOff>114300</xdr:rowOff>
    </xdr:to>
    <xdr:sp macro="" textlink="">
      <xdr:nvSpPr>
        <xdr:cNvPr id="97" name="AutoShape 83" descr="https://registries.health.gov.il/assets/icons/valid.svg">
          <a:extLst>
            <a:ext uri="{FF2B5EF4-FFF2-40B4-BE49-F238E27FC236}">
              <a16:creationId xmlns:a16="http://schemas.microsoft.com/office/drawing/2014/main" id="{14B42CB5-076A-41BB-ACD4-476BE543A1DC}"/>
            </a:ext>
          </a:extLst>
        </xdr:cNvPr>
        <xdr:cNvSpPr>
          <a:spLocks noChangeAspect="1" noChangeArrowheads="1"/>
        </xdr:cNvSpPr>
      </xdr:nvSpPr>
      <xdr:spPr bwMode="auto">
        <a:xfrm>
          <a:off x="10984222380" y="374523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231</xdr:row>
      <xdr:rowOff>0</xdr:rowOff>
    </xdr:from>
    <xdr:to>
      <xdr:col>8</xdr:col>
      <xdr:colOff>304800</xdr:colOff>
      <xdr:row>232</xdr:row>
      <xdr:rowOff>114300</xdr:rowOff>
    </xdr:to>
    <xdr:sp macro="" textlink="">
      <xdr:nvSpPr>
        <xdr:cNvPr id="98" name="AutoShape 84" descr="https://registries.health.gov.il/assets/icons/valid.svg">
          <a:extLst>
            <a:ext uri="{FF2B5EF4-FFF2-40B4-BE49-F238E27FC236}">
              <a16:creationId xmlns:a16="http://schemas.microsoft.com/office/drawing/2014/main" id="{BC8EF6C9-C6FA-4249-95FC-EB161DCA33AE}"/>
            </a:ext>
          </a:extLst>
        </xdr:cNvPr>
        <xdr:cNvSpPr>
          <a:spLocks noChangeAspect="1" noChangeArrowheads="1"/>
        </xdr:cNvSpPr>
      </xdr:nvSpPr>
      <xdr:spPr bwMode="auto">
        <a:xfrm>
          <a:off x="10984222380" y="407822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250</xdr:row>
      <xdr:rowOff>0</xdr:rowOff>
    </xdr:from>
    <xdr:to>
      <xdr:col>8</xdr:col>
      <xdr:colOff>304800</xdr:colOff>
      <xdr:row>251</xdr:row>
      <xdr:rowOff>114300</xdr:rowOff>
    </xdr:to>
    <xdr:sp macro="" textlink="">
      <xdr:nvSpPr>
        <xdr:cNvPr id="99" name="AutoShape 85" descr="https://registries.health.gov.il/assets/icons/valid.svg">
          <a:extLst>
            <a:ext uri="{FF2B5EF4-FFF2-40B4-BE49-F238E27FC236}">
              <a16:creationId xmlns:a16="http://schemas.microsoft.com/office/drawing/2014/main" id="{93A758C6-66D5-409F-B11C-D7120AB281CF}"/>
            </a:ext>
          </a:extLst>
        </xdr:cNvPr>
        <xdr:cNvSpPr>
          <a:spLocks noChangeAspect="1" noChangeArrowheads="1"/>
        </xdr:cNvSpPr>
      </xdr:nvSpPr>
      <xdr:spPr bwMode="auto">
        <a:xfrm>
          <a:off x="10984222380" y="441121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261</xdr:row>
      <xdr:rowOff>0</xdr:rowOff>
    </xdr:from>
    <xdr:to>
      <xdr:col>8</xdr:col>
      <xdr:colOff>304800</xdr:colOff>
      <xdr:row>262</xdr:row>
      <xdr:rowOff>114300</xdr:rowOff>
    </xdr:to>
    <xdr:sp macro="" textlink="">
      <xdr:nvSpPr>
        <xdr:cNvPr id="100" name="AutoShape 86" descr="https://registries.health.gov.il/assets/icons/valid.svg">
          <a:extLst>
            <a:ext uri="{FF2B5EF4-FFF2-40B4-BE49-F238E27FC236}">
              <a16:creationId xmlns:a16="http://schemas.microsoft.com/office/drawing/2014/main" id="{72951F34-971E-4D30-9E44-821DBF3636C7}"/>
            </a:ext>
          </a:extLst>
        </xdr:cNvPr>
        <xdr:cNvSpPr>
          <a:spLocks noChangeAspect="1" noChangeArrowheads="1"/>
        </xdr:cNvSpPr>
      </xdr:nvSpPr>
      <xdr:spPr bwMode="auto">
        <a:xfrm>
          <a:off x="10984222380" y="460400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280</xdr:row>
      <xdr:rowOff>0</xdr:rowOff>
    </xdr:from>
    <xdr:to>
      <xdr:col>8</xdr:col>
      <xdr:colOff>304800</xdr:colOff>
      <xdr:row>281</xdr:row>
      <xdr:rowOff>114300</xdr:rowOff>
    </xdr:to>
    <xdr:sp macro="" textlink="">
      <xdr:nvSpPr>
        <xdr:cNvPr id="101" name="AutoShape 87" descr="https://registries.health.gov.il/assets/icons/valid.svg">
          <a:extLst>
            <a:ext uri="{FF2B5EF4-FFF2-40B4-BE49-F238E27FC236}">
              <a16:creationId xmlns:a16="http://schemas.microsoft.com/office/drawing/2014/main" id="{25717500-9305-4B36-8245-2DFB5779E3D3}"/>
            </a:ext>
          </a:extLst>
        </xdr:cNvPr>
        <xdr:cNvSpPr>
          <a:spLocks noChangeAspect="1" noChangeArrowheads="1"/>
        </xdr:cNvSpPr>
      </xdr:nvSpPr>
      <xdr:spPr bwMode="auto">
        <a:xfrm>
          <a:off x="10984222380" y="493699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299</xdr:row>
      <xdr:rowOff>0</xdr:rowOff>
    </xdr:from>
    <xdr:to>
      <xdr:col>8</xdr:col>
      <xdr:colOff>304800</xdr:colOff>
      <xdr:row>300</xdr:row>
      <xdr:rowOff>114300</xdr:rowOff>
    </xdr:to>
    <xdr:sp macro="" textlink="">
      <xdr:nvSpPr>
        <xdr:cNvPr id="102" name="AutoShape 88" descr="https://registries.health.gov.il/assets/icons/valid.svg">
          <a:extLst>
            <a:ext uri="{FF2B5EF4-FFF2-40B4-BE49-F238E27FC236}">
              <a16:creationId xmlns:a16="http://schemas.microsoft.com/office/drawing/2014/main" id="{EAB7EB83-9432-4B82-8E64-DEAF91EA73A5}"/>
            </a:ext>
          </a:extLst>
        </xdr:cNvPr>
        <xdr:cNvSpPr>
          <a:spLocks noChangeAspect="1" noChangeArrowheads="1"/>
        </xdr:cNvSpPr>
      </xdr:nvSpPr>
      <xdr:spPr bwMode="auto">
        <a:xfrm>
          <a:off x="10984222380" y="5269992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318</xdr:row>
      <xdr:rowOff>0</xdr:rowOff>
    </xdr:from>
    <xdr:to>
      <xdr:col>8</xdr:col>
      <xdr:colOff>304800</xdr:colOff>
      <xdr:row>319</xdr:row>
      <xdr:rowOff>114300</xdr:rowOff>
    </xdr:to>
    <xdr:sp macro="" textlink="">
      <xdr:nvSpPr>
        <xdr:cNvPr id="103" name="AutoShape 89" descr="https://registries.health.gov.il/assets/icons/valid.svg">
          <a:extLst>
            <a:ext uri="{FF2B5EF4-FFF2-40B4-BE49-F238E27FC236}">
              <a16:creationId xmlns:a16="http://schemas.microsoft.com/office/drawing/2014/main" id="{002664A7-5E41-4D8D-82F1-F134EA13D27F}"/>
            </a:ext>
          </a:extLst>
        </xdr:cNvPr>
        <xdr:cNvSpPr>
          <a:spLocks noChangeAspect="1" noChangeArrowheads="1"/>
        </xdr:cNvSpPr>
      </xdr:nvSpPr>
      <xdr:spPr bwMode="auto">
        <a:xfrm>
          <a:off x="10984222380" y="5602986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341</xdr:row>
      <xdr:rowOff>0</xdr:rowOff>
    </xdr:from>
    <xdr:to>
      <xdr:col>8</xdr:col>
      <xdr:colOff>304800</xdr:colOff>
      <xdr:row>342</xdr:row>
      <xdr:rowOff>114300</xdr:rowOff>
    </xdr:to>
    <xdr:sp macro="" textlink="">
      <xdr:nvSpPr>
        <xdr:cNvPr id="104" name="AutoShape 90" descr="https://registries.health.gov.il/assets/icons/valid.svg">
          <a:extLst>
            <a:ext uri="{FF2B5EF4-FFF2-40B4-BE49-F238E27FC236}">
              <a16:creationId xmlns:a16="http://schemas.microsoft.com/office/drawing/2014/main" id="{4A5FEA43-C40A-468C-A7A1-E7F011430479}"/>
            </a:ext>
          </a:extLst>
        </xdr:cNvPr>
        <xdr:cNvSpPr>
          <a:spLocks noChangeAspect="1" noChangeArrowheads="1"/>
        </xdr:cNvSpPr>
      </xdr:nvSpPr>
      <xdr:spPr bwMode="auto">
        <a:xfrm>
          <a:off x="10984222380" y="6006084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360</xdr:row>
      <xdr:rowOff>0</xdr:rowOff>
    </xdr:from>
    <xdr:to>
      <xdr:col>8</xdr:col>
      <xdr:colOff>304800</xdr:colOff>
      <xdr:row>361</xdr:row>
      <xdr:rowOff>114300</xdr:rowOff>
    </xdr:to>
    <xdr:sp macro="" textlink="">
      <xdr:nvSpPr>
        <xdr:cNvPr id="105" name="AutoShape 91" descr="https://registries.health.gov.il/assets/icons/valid.svg">
          <a:extLst>
            <a:ext uri="{FF2B5EF4-FFF2-40B4-BE49-F238E27FC236}">
              <a16:creationId xmlns:a16="http://schemas.microsoft.com/office/drawing/2014/main" id="{06EBF582-337E-4B6D-A721-7C1590E5183E}"/>
            </a:ext>
          </a:extLst>
        </xdr:cNvPr>
        <xdr:cNvSpPr>
          <a:spLocks noChangeAspect="1" noChangeArrowheads="1"/>
        </xdr:cNvSpPr>
      </xdr:nvSpPr>
      <xdr:spPr bwMode="auto">
        <a:xfrm>
          <a:off x="10984222380" y="6339078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869576</xdr:colOff>
      <xdr:row>11</xdr:row>
      <xdr:rowOff>68168</xdr:rowOff>
    </xdr:from>
    <xdr:to>
      <xdr:col>12</xdr:col>
      <xdr:colOff>293056</xdr:colOff>
      <xdr:row>36</xdr:row>
      <xdr:rowOff>80682</xdr:rowOff>
    </xdr:to>
    <xdr:pic>
      <xdr:nvPicPr>
        <xdr:cNvPr id="106" name="תמונה 105">
          <a:extLst>
            <a:ext uri="{FF2B5EF4-FFF2-40B4-BE49-F238E27FC236}">
              <a16:creationId xmlns:a16="http://schemas.microsoft.com/office/drawing/2014/main" id="{55369083-8ECD-21C9-E860-BA7C04AA331F}"/>
            </a:ext>
          </a:extLst>
        </xdr:cNvPr>
        <xdr:cNvPicPr>
          <a:picLocks noChangeAspect="1"/>
        </xdr:cNvPicPr>
      </xdr:nvPicPr>
      <xdr:blipFill>
        <a:blip xmlns:r="http://schemas.openxmlformats.org/officeDocument/2006/relationships" r:embed="rId1"/>
        <a:stretch>
          <a:fillRect/>
        </a:stretch>
      </xdr:blipFill>
      <xdr:spPr>
        <a:xfrm>
          <a:off x="11010257321" y="2300380"/>
          <a:ext cx="10243880" cy="4494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703427</xdr:colOff>
      <xdr:row>6</xdr:row>
      <xdr:rowOff>71717</xdr:rowOff>
    </xdr:from>
    <xdr:to>
      <xdr:col>15</xdr:col>
      <xdr:colOff>735105</xdr:colOff>
      <xdr:row>38</xdr:row>
      <xdr:rowOff>153488</xdr:rowOff>
    </xdr:to>
    <xdr:pic>
      <xdr:nvPicPr>
        <xdr:cNvPr id="2" name="תמונה 1">
          <a:extLst>
            <a:ext uri="{FF2B5EF4-FFF2-40B4-BE49-F238E27FC236}">
              <a16:creationId xmlns:a16="http://schemas.microsoft.com/office/drawing/2014/main" id="{A10F6B30-7E34-E87A-7201-5A2294A0CE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298783601" y="1676399"/>
          <a:ext cx="7185513" cy="5819183"/>
        </a:xfrm>
        <a:prstGeom prst="rect">
          <a:avLst/>
        </a:prstGeom>
      </xdr:spPr>
    </xdr:pic>
    <xdr:clientData/>
  </xdr:twoCellAnchor>
  <xdr:twoCellAnchor editAs="oneCell">
    <xdr:from>
      <xdr:col>17</xdr:col>
      <xdr:colOff>683787</xdr:colOff>
      <xdr:row>1</xdr:row>
      <xdr:rowOff>62751</xdr:rowOff>
    </xdr:from>
    <xdr:to>
      <xdr:col>32</xdr:col>
      <xdr:colOff>575534</xdr:colOff>
      <xdr:row>10</xdr:row>
      <xdr:rowOff>89645</xdr:rowOff>
    </xdr:to>
    <xdr:pic>
      <xdr:nvPicPr>
        <xdr:cNvPr id="3" name="תמונה 2">
          <a:extLst>
            <a:ext uri="{FF2B5EF4-FFF2-40B4-BE49-F238E27FC236}">
              <a16:creationId xmlns:a16="http://schemas.microsoft.com/office/drawing/2014/main" id="{8152A157-B678-C7C2-8DFF-91F39374D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6921501" y="770963"/>
          <a:ext cx="10470100" cy="164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26894</xdr:colOff>
      <xdr:row>17</xdr:row>
      <xdr:rowOff>134470</xdr:rowOff>
    </xdr:from>
    <xdr:to>
      <xdr:col>31</xdr:col>
      <xdr:colOff>152400</xdr:colOff>
      <xdr:row>31</xdr:row>
      <xdr:rowOff>17929</xdr:rowOff>
    </xdr:to>
    <xdr:sp macro="" textlink="">
      <xdr:nvSpPr>
        <xdr:cNvPr id="4" name="תיבת טקסט 3">
          <a:extLst>
            <a:ext uri="{FF2B5EF4-FFF2-40B4-BE49-F238E27FC236}">
              <a16:creationId xmlns:a16="http://schemas.microsoft.com/office/drawing/2014/main" id="{490A83BB-C1BA-DDAB-6DEC-C5AC92A4C616}"/>
            </a:ext>
          </a:extLst>
        </xdr:cNvPr>
        <xdr:cNvSpPr txBox="1"/>
      </xdr:nvSpPr>
      <xdr:spPr>
        <a:xfrm>
          <a:off x="11288034918" y="3711388"/>
          <a:ext cx="9323294" cy="2393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en-US" sz="6000"/>
            <a:t>https://roy-idan.co.il/os28</a:t>
          </a:r>
          <a:endParaRPr lang="he-IL" sz="6000"/>
        </a:p>
      </xdr:txBody>
    </xdr:sp>
    <xdr:clientData/>
  </xdr:twoCellAnchor>
  <xdr:twoCellAnchor editAs="oneCell">
    <xdr:from>
      <xdr:col>18</xdr:col>
      <xdr:colOff>44823</xdr:colOff>
      <xdr:row>10</xdr:row>
      <xdr:rowOff>170330</xdr:rowOff>
    </xdr:from>
    <xdr:to>
      <xdr:col>25</xdr:col>
      <xdr:colOff>475129</xdr:colOff>
      <xdr:row>18</xdr:row>
      <xdr:rowOff>93581</xdr:rowOff>
    </xdr:to>
    <xdr:pic>
      <xdr:nvPicPr>
        <xdr:cNvPr id="5" name="תמונה 4">
          <a:extLst>
            <a:ext uri="{FF2B5EF4-FFF2-40B4-BE49-F238E27FC236}">
              <a16:creationId xmlns:a16="http://schemas.microsoft.com/office/drawing/2014/main" id="{F6D093B9-0DAA-53DA-FB9C-4A31A23EF806}"/>
            </a:ext>
          </a:extLst>
        </xdr:cNvPr>
        <xdr:cNvPicPr>
          <a:picLocks noChangeAspect="1"/>
        </xdr:cNvPicPr>
      </xdr:nvPicPr>
      <xdr:blipFill>
        <a:blip xmlns:r="http://schemas.openxmlformats.org/officeDocument/2006/relationships" r:embed="rId3"/>
        <a:stretch>
          <a:fillRect/>
        </a:stretch>
      </xdr:blipFill>
      <xdr:spPr>
        <a:xfrm>
          <a:off x="11291853883" y="2492189"/>
          <a:ext cx="5486400" cy="1357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83819</xdr:colOff>
      <xdr:row>0</xdr:row>
      <xdr:rowOff>449580</xdr:rowOff>
    </xdr:from>
    <xdr:to>
      <xdr:col>18</xdr:col>
      <xdr:colOff>1145087</xdr:colOff>
      <xdr:row>20</xdr:row>
      <xdr:rowOff>168275</xdr:rowOff>
    </xdr:to>
    <xdr:pic>
      <xdr:nvPicPr>
        <xdr:cNvPr id="4" name="תמונה 3">
          <a:extLst>
            <a:ext uri="{FF2B5EF4-FFF2-40B4-BE49-F238E27FC236}">
              <a16:creationId xmlns:a16="http://schemas.microsoft.com/office/drawing/2014/main" id="{4D14E7FE-0642-4157-9DD4-C701C36E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975000093" y="449580"/>
          <a:ext cx="6753408" cy="386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775251</xdr:colOff>
      <xdr:row>6</xdr:row>
      <xdr:rowOff>16075</xdr:rowOff>
    </xdr:from>
    <xdr:to>
      <xdr:col>22</xdr:col>
      <xdr:colOff>1629354</xdr:colOff>
      <xdr:row>12</xdr:row>
      <xdr:rowOff>123414</xdr:rowOff>
    </xdr:to>
    <xdr:pic>
      <xdr:nvPicPr>
        <xdr:cNvPr id="4" name="תמונה 3">
          <a:extLst>
            <a:ext uri="{FF2B5EF4-FFF2-40B4-BE49-F238E27FC236}">
              <a16:creationId xmlns:a16="http://schemas.microsoft.com/office/drawing/2014/main" id="{C5D31958-7C24-43D6-8583-3997491A84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41564385" y="1420805"/>
          <a:ext cx="9938468" cy="130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1502;&#1513;&#1514;&#1502;&#1513;\Desktop\&#1500;&#1497;&#1502;&#1493;&#1491;&#1497;&#1493;&#1514;%202025\&#1500;&#1497;&#1502;&#1493;&#1491;&#1497;&#1497;&#1514;%20&#1497;&#1497;&#1513;&#1493;&#1502;&#1497;%20&#1496;&#1499;&#1504;&#1493;&#1500;&#1493;&#1490;&#1497;&#1492;%20&#1489;&#1506;&#1505;&#1511;&#1497;&#1501;%202025\&#1488;&#1511;&#1505;&#1500;%20&#1502;&#1493;&#1506;&#1491;%20&#1489;%202024-%20&#1513;&#1493;&#1492;&#1501;.xlsm" TargetMode="External"/><Relationship Id="rId1" Type="http://schemas.openxmlformats.org/officeDocument/2006/relationships/externalLinkPath" Target="/Users/&#1502;&#1513;&#1514;&#1502;&#1513;/Desktop/&#1500;&#1497;&#1502;&#1493;&#1491;&#1497;&#1493;&#1514;%202025/&#1500;&#1497;&#1502;&#1493;&#1491;&#1497;&#1497;&#1514;%20&#1497;&#1497;&#1513;&#1493;&#1502;&#1497;%20&#1496;&#1499;&#1504;&#1493;&#1500;&#1493;&#1490;&#1497;&#1492;%20&#1489;&#1506;&#1505;&#1511;&#1497;&#1501;%202025/&#1488;&#1511;&#1505;&#1500;%20&#1502;&#1493;&#1506;&#1491;%20&#1489;%202024-%20&#1513;&#1493;&#1492;&#150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502;&#1513;&#1514;&#1502;&#1513;\Downloads\&#1489;&#1495;&#1497;&#1504;&#1492;%20&#1500;&#1491;&#1493;&#1490;&#1502;&#1492;%202%20-%20&#1508;&#1514;&#1512;&#1493;&#1503;.xlsx" TargetMode="External"/><Relationship Id="rId1" Type="http://schemas.openxmlformats.org/officeDocument/2006/relationships/externalLinkPath" Target="&#1489;&#1495;&#1497;&#1504;&#1492;%20&#1500;&#1491;&#1493;&#1490;&#1502;&#1492;%202%20-%20&#1508;&#1514;&#1512;&#1493;&#150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1502;&#1513;&#1514;&#1502;&#1513;\Downloads\File_0___DATA.exA-Solve%20(4).xlsx" TargetMode="External"/><Relationship Id="rId1" Type="http://schemas.openxmlformats.org/officeDocument/2006/relationships/externalLinkPath" Target="File_0___DATA.exA-Solve%20(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502;&#1493;&#1506;&#1491;%20&#1488;%202023\File_0_&#1508;&#1514;&#1512;&#1493;&#1503;%20&#1502;&#1493;&#1506;&#1491;%20&#1488;.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502;&#1493;&#1506;&#1491;%20&#1488;%202023/File_0_&#1508;&#1514;&#1512;&#1493;&#1503;%20&#1502;&#1493;&#1506;&#1491;%20&#1488;.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1502;&#1513;&#1514;&#1502;&#1513;\Downloads\&#1514;&#1495;&#1497;&#1500;&#1514;-&#1492;&#1505;&#1512;&#1496;&#1493;&#1503;-&#1513;&#1488;&#1500;&#1492;-2%20(1).xlsx" TargetMode="External"/><Relationship Id="rId1" Type="http://schemas.openxmlformats.org/officeDocument/2006/relationships/externalLinkPath" Target="&#1514;&#1495;&#1497;&#1500;&#1514;-&#1492;&#1505;&#1512;&#1496;&#1493;&#1503;-&#1513;&#1488;&#1500;&#1492;-2%20(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502;&#1493;&#1506;&#1491;%20&#1488;%20&#1493;&#1508;&#1514;&#1512;&#1493;&#1503;%202022\&#1502;-&#1504;&#1493;&#1513;&#1488;%20115200%20&#1497;&#1497;&#1513;&#1493;&#1502;&#1497;%20&#1502;&#1495;&#1513;&#1489;%20&#1489;&#1504;&#1497;&#1492;&#1493;&#1500;%20&#1502;&#1493;&#1506;&#1491;%201.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502;&#1493;&#1506;&#1491;%20&#1488;%20&#1493;&#1508;&#1514;&#1512;&#1493;&#1503;%202022/&#1502;-&#1504;&#1493;&#1513;&#1488;%20115200%20&#1497;&#1497;&#1513;&#1493;&#1502;&#1497;%20&#1502;&#1495;&#1513;&#1489;%20&#1489;&#1504;&#1497;&#1492;&#1493;&#1500;%20&#1502;&#1493;&#1506;&#1491;%2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G:\&#1511;&#1493;&#1489;&#1512;&#1492;\&#1513;&#1497;&#1497;&#1498;%20&#1500;&#1506;&#1489;&#1512;\&#1514;&#1513;&#1508;&#1491;%202024%20&#1505;&#1502;&#1505;&#1496;&#1512;%20&#1488;\&#1500;&#1497;&#1502;&#1493;&#1491;&#1497;&#1493;&#1514;%202024\&#1500;&#1497;&#1502;&#1493;&#1491;&#1497;&#1493;&#1514;%20&#1505;&#1502;%20&#1488;%202024\&#1500;&#1497;&#1502;&#1493;&#1491;&#1497;&#1497;&#1514;%20&#1488;&#1511;&#1505;&#1500;%20&#1495;&#1513;&#1489;&#1493;&#1504;&#1488;&#1497;&#1501;\&#1490;&#1497;&#1500;&#1497;&#1493;&#1503;%20&#1508;&#1514;&#1493;&#1512;%20&#1500;&#1508;&#1514;&#1497;&#1495;&#1492;%20&#1500;&#1500;&#1497;&#1502;&#1493;&#1491;&#1497;&#1492;.xlsx" TargetMode="External"/><Relationship Id="rId1" Type="http://schemas.openxmlformats.org/officeDocument/2006/relationships/externalLinkPath" Target="file:///G:\&#1511;&#1493;&#1489;&#1512;&#1492;\&#1513;&#1497;&#1497;&#1498;%20&#1500;&#1506;&#1489;&#1512;\&#1514;&#1513;&#1508;&#1491;%202024%20&#1505;&#1502;&#1505;&#1496;&#1512;%20&#1488;\&#1500;&#1497;&#1502;&#1493;&#1491;&#1497;&#1493;&#1514;%202024\&#1500;&#1497;&#1502;&#1493;&#1491;&#1497;&#1493;&#1514;%20&#1505;&#1502;%20&#1488;%202024\&#1500;&#1497;&#1502;&#1493;&#1491;&#1497;&#1497;&#1514;%20&#1488;&#1511;&#1505;&#1500;%20&#1495;&#1513;&#1489;&#1493;&#1504;&#1488;&#1497;&#1501;\&#1490;&#1497;&#1500;&#1497;&#1493;&#1503;%20&#1508;&#1514;&#1493;&#1512;%20&#1500;&#1508;&#1514;&#1497;&#1495;&#1492;%20&#1500;&#1500;&#1497;&#1502;&#1493;&#1491;&#1497;&#1492;.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1511;&#1493;&#1489;&#1512;&#1492;\&#1514;&#1513;&#1508;&#1491;%202024%20&#1505;&#1502;&#1505;&#1496;&#1512;%20&#1488;\&#1500;&#1497;&#1502;&#1493;&#1491;&#1497;&#1493;&#1514;%202024\&#1502;&#1504;&#1506;&#1505;\&#1513;&#1504;&#1492;%20&#1488;%20&#1500;&#1497;&#1502;&#1493;&#1491;&#1497;&#1497;&#1514;%20&#1488;&#1511;&#1505;&#1500;%20&#1502;&#1504;&#1506;&#1505;\&#1488;&#1497;&#1503;%20&#1508;&#1514;&#1512;&#1493;&#1503;%20&#1502;&#1512;&#1510;&#1492;%20&#1502;&#1493;&#1506;&#1491;%20&#1488;%20&#1505;&#1502;&#1505;&#1496;&#1512;%20&#1488;&#1489;&#1497;&#1489;%202023\&#1508;&#1514;&#1512;&#1493;&#1503;%20&#1514;&#1500;&#1502;&#1497;&#1491;,%20&#1510;&#1497;&#1493;&#1503;%2095%20&#1508;&#1500;&#1493;&#1505;.xlsx" TargetMode="External"/><Relationship Id="rId1" Type="http://schemas.openxmlformats.org/officeDocument/2006/relationships/externalLinkPath" Target="/&#1511;&#1493;&#1489;&#1512;&#1492;/&#1514;&#1513;&#1508;&#1491;%202024%20&#1505;&#1502;&#1505;&#1496;&#1512;%20&#1488;/&#1500;&#1497;&#1502;&#1493;&#1491;&#1497;&#1493;&#1514;%202024/&#1502;&#1504;&#1506;&#1505;/&#1513;&#1504;&#1492;%20&#1488;%20&#1500;&#1497;&#1502;&#1493;&#1491;&#1497;&#1497;&#1514;%20&#1488;&#1511;&#1505;&#1500;%20&#1502;&#1504;&#1506;&#1505;/&#1488;&#1497;&#1503;%20&#1508;&#1514;&#1512;&#1493;&#1503;%20&#1502;&#1512;&#1510;&#1492;%20&#1502;&#1493;&#1506;&#1491;%20&#1488;%20&#1505;&#1502;&#1505;&#1496;&#1512;%20&#1488;&#1489;&#1497;&#1489;%202023/&#1508;&#1514;&#1512;&#1493;&#1503;%20&#1514;&#1500;&#1502;&#1497;&#1491;,%20&#1510;&#1497;&#1493;&#1503;%2095%20&#1508;&#1500;&#1493;&#15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פרטים"/>
      <sheetName val="Bean Voyage"/>
      <sheetName val="שאלה 1"/>
      <sheetName val="שאלה 4"/>
      <sheetName val="שעות מעודכנות "/>
      <sheetName val="מיון"/>
      <sheetName val="נתוני עזר"/>
      <sheetName val="אקסל מועד ב 2024- שוהם"/>
    </sheetNames>
    <sheetDataSet>
      <sheetData sheetId="0" refreshError="1"/>
      <sheetData sheetId="1" refreshError="1"/>
      <sheetData sheetId="2" refreshError="1"/>
      <sheetData sheetId="3" refreshError="1"/>
      <sheetData sheetId="4" refreshError="1"/>
      <sheetData sheetId="5" refreshError="1"/>
      <sheetData sheetId="6">
        <row r="2">
          <cell r="A2">
            <v>1</v>
          </cell>
        </row>
        <row r="3">
          <cell r="A3">
            <v>3</v>
          </cell>
        </row>
        <row r="4">
          <cell r="A4" t="str">
            <v>!</v>
          </cell>
        </row>
        <row r="6">
          <cell r="A6">
            <v>2</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ממוצע שכר "/>
      <sheetName val="רופאים"/>
      <sheetName val="התמחויות"/>
      <sheetName val="סדנת בישול"/>
      <sheetName val="ביקורת סמינרים"/>
      <sheetName val="גיליון1"/>
      <sheetName val="גיליון2"/>
    </sheetNames>
    <sheetDataSet>
      <sheetData sheetId="0">
        <row r="5">
          <cell r="A5" t="str">
            <v>שנות וותק / עיר מגורים</v>
          </cell>
          <cell r="B5" t="str">
            <v>עומר</v>
          </cell>
          <cell r="C5" t="str">
            <v>באר-שבע</v>
          </cell>
          <cell r="D5" t="str">
            <v>קריית-גת</v>
          </cell>
          <cell r="E5" t="str">
            <v>קרית-מלאכי</v>
          </cell>
          <cell r="F5" t="str">
            <v>ראשון לציון</v>
          </cell>
          <cell r="G5" t="str">
            <v>חולון</v>
          </cell>
          <cell r="H5" t="str">
            <v>אשקלון</v>
          </cell>
          <cell r="I5" t="str">
            <v>אשדוד</v>
          </cell>
          <cell r="J5" t="str">
            <v>נס ציונה</v>
          </cell>
          <cell r="K5" t="str">
            <v>צאלים</v>
          </cell>
          <cell r="N5" t="str">
            <v>עומר</v>
          </cell>
          <cell r="O5">
            <v>2</v>
          </cell>
        </row>
        <row r="6">
          <cell r="A6">
            <v>0</v>
          </cell>
          <cell r="B6">
            <v>650</v>
          </cell>
          <cell r="C6">
            <v>670</v>
          </cell>
          <cell r="D6">
            <v>690</v>
          </cell>
          <cell r="E6">
            <v>710</v>
          </cell>
          <cell r="F6">
            <v>730</v>
          </cell>
          <cell r="G6">
            <v>750</v>
          </cell>
          <cell r="H6">
            <v>770</v>
          </cell>
          <cell r="I6">
            <v>790</v>
          </cell>
          <cell r="J6">
            <v>810</v>
          </cell>
          <cell r="K6">
            <v>830</v>
          </cell>
          <cell r="N6" t="str">
            <v>באר-שבע</v>
          </cell>
          <cell r="O6">
            <v>3</v>
          </cell>
        </row>
        <row r="7">
          <cell r="A7">
            <v>10</v>
          </cell>
          <cell r="B7">
            <v>860</v>
          </cell>
          <cell r="C7">
            <v>870</v>
          </cell>
          <cell r="D7">
            <v>880</v>
          </cell>
          <cell r="E7">
            <v>890</v>
          </cell>
          <cell r="F7">
            <v>900</v>
          </cell>
          <cell r="G7">
            <v>910</v>
          </cell>
          <cell r="H7">
            <v>920</v>
          </cell>
          <cell r="I7">
            <v>930</v>
          </cell>
          <cell r="J7">
            <v>940</v>
          </cell>
          <cell r="K7">
            <v>950</v>
          </cell>
          <cell r="N7" t="str">
            <v>קריית-גת</v>
          </cell>
          <cell r="O7">
            <v>4</v>
          </cell>
        </row>
        <row r="8">
          <cell r="A8">
            <v>30</v>
          </cell>
          <cell r="B8">
            <v>1000</v>
          </cell>
          <cell r="C8">
            <v>1050</v>
          </cell>
          <cell r="D8">
            <v>1100</v>
          </cell>
          <cell r="E8">
            <v>1150</v>
          </cell>
          <cell r="F8">
            <v>1200</v>
          </cell>
          <cell r="G8">
            <v>1250</v>
          </cell>
          <cell r="H8">
            <v>1300</v>
          </cell>
          <cell r="I8">
            <v>1350</v>
          </cell>
          <cell r="J8">
            <v>1400</v>
          </cell>
          <cell r="K8">
            <v>1450</v>
          </cell>
          <cell r="N8" t="str">
            <v>קרית-מלאכי</v>
          </cell>
          <cell r="O8">
            <v>5</v>
          </cell>
        </row>
        <row r="9">
          <cell r="A9">
            <v>40</v>
          </cell>
          <cell r="B9">
            <v>1500</v>
          </cell>
          <cell r="C9">
            <v>1600</v>
          </cell>
          <cell r="D9">
            <v>1700</v>
          </cell>
          <cell r="E9">
            <v>1800</v>
          </cell>
          <cell r="F9">
            <v>1900</v>
          </cell>
          <cell r="G9">
            <v>2000</v>
          </cell>
          <cell r="H9">
            <v>2100</v>
          </cell>
          <cell r="I9">
            <v>2200</v>
          </cell>
          <cell r="J9">
            <v>2300</v>
          </cell>
          <cell r="K9">
            <v>2400</v>
          </cell>
          <cell r="N9" t="str">
            <v>ראשון לציון</v>
          </cell>
          <cell r="O9">
            <v>6</v>
          </cell>
        </row>
        <row r="10">
          <cell r="N10" t="str">
            <v>חולון</v>
          </cell>
          <cell r="O10">
            <v>7</v>
          </cell>
        </row>
        <row r="11">
          <cell r="N11" t="str">
            <v>אשקלון</v>
          </cell>
          <cell r="O11">
            <v>8</v>
          </cell>
        </row>
        <row r="12">
          <cell r="N12" t="str">
            <v>אשדוד</v>
          </cell>
          <cell r="O12">
            <v>9</v>
          </cell>
        </row>
        <row r="13">
          <cell r="N13" t="str">
            <v>נס ציונה</v>
          </cell>
          <cell r="O13">
            <v>10</v>
          </cell>
        </row>
        <row r="14">
          <cell r="N14" t="str">
            <v>צאלים</v>
          </cell>
          <cell r="O14">
            <v>11</v>
          </cell>
        </row>
      </sheetData>
      <sheetData sheetId="1" refreshError="1"/>
      <sheetData sheetId="2"/>
      <sheetData sheetId="3">
        <row r="2">
          <cell r="A2">
            <v>1</v>
          </cell>
          <cell r="B2" t="str">
            <v>רפואת ילדים</v>
          </cell>
        </row>
        <row r="3">
          <cell r="A3">
            <v>2</v>
          </cell>
          <cell r="B3" t="str">
            <v>כירורגיה כללית</v>
          </cell>
        </row>
        <row r="4">
          <cell r="A4">
            <v>3</v>
          </cell>
          <cell r="B4" t="str">
            <v>הרדמה</v>
          </cell>
        </row>
        <row r="5">
          <cell r="A5">
            <v>4</v>
          </cell>
          <cell r="B5" t="str">
            <v>המטולוגיה</v>
          </cell>
        </row>
        <row r="6">
          <cell r="A6">
            <v>5</v>
          </cell>
          <cell r="B6" t="str">
            <v>פסיכיאטריה</v>
          </cell>
        </row>
        <row r="7">
          <cell r="A7">
            <v>6</v>
          </cell>
          <cell r="B7" t="str">
            <v>רפואה פיסיקלית ושיקום</v>
          </cell>
        </row>
        <row r="8">
          <cell r="A8">
            <v>7</v>
          </cell>
          <cell r="B8" t="str">
            <v>רפואת המשפחה</v>
          </cell>
        </row>
        <row r="9">
          <cell r="A9">
            <v>8</v>
          </cell>
          <cell r="B9" t="str">
            <v>כירורגיה אורתופדית</v>
          </cell>
        </row>
        <row r="10">
          <cell r="A10">
            <v>9</v>
          </cell>
          <cell r="B10" t="str">
            <v>רפואה פנימית</v>
          </cell>
        </row>
        <row r="11">
          <cell r="A11">
            <v>10</v>
          </cell>
          <cell r="B11" t="str">
            <v>יילוד וגינקולוגיה</v>
          </cell>
        </row>
        <row r="12">
          <cell r="A12">
            <v>11</v>
          </cell>
          <cell r="B12" t="str">
            <v>רפואה תעסוקתית</v>
          </cell>
        </row>
        <row r="13">
          <cell r="A13">
            <v>12</v>
          </cell>
          <cell r="B13" t="str">
            <v>דרמטולוגיה-מחלות עור ומין</v>
          </cell>
        </row>
        <row r="14">
          <cell r="A14">
            <v>13</v>
          </cell>
          <cell r="B14" t="str">
            <v>נוירוכירורגיה</v>
          </cell>
        </row>
        <row r="15">
          <cell r="A15">
            <v>14</v>
          </cell>
          <cell r="B15" t="str">
            <v>כירורגיה אורולוגית</v>
          </cell>
        </row>
        <row r="16">
          <cell r="A16">
            <v>15</v>
          </cell>
          <cell r="B16" t="str">
            <v>נפרולוגיה</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השקעות"/>
      <sheetName val="סך השקעה התחלתית פר חודש"/>
      <sheetName val="דוח למנהל ההשקעות"/>
      <sheetName val="מחקר"/>
      <sheetName val="ניתוח"/>
    </sheetNames>
    <sheetDataSet>
      <sheetData sheetId="0">
        <row r="3">
          <cell r="B3">
            <v>3.1</v>
          </cell>
        </row>
        <row r="7">
          <cell r="A7" t="str">
            <v>קרן השקעה</v>
          </cell>
          <cell r="B7" t="str">
            <v>שכיר</v>
          </cell>
          <cell r="C7" t="str">
            <v>עצמאי</v>
          </cell>
          <cell r="D7" t="str">
            <v>בעל שליטה</v>
          </cell>
          <cell r="F7" t="str">
            <v>שכיר</v>
          </cell>
          <cell r="G7">
            <v>2</v>
          </cell>
        </row>
        <row r="8">
          <cell r="A8">
            <v>10</v>
          </cell>
          <cell r="B8">
            <v>0.15</v>
          </cell>
          <cell r="C8">
            <v>0.15</v>
          </cell>
          <cell r="D8">
            <v>0.1</v>
          </cell>
          <cell r="F8" t="str">
            <v>עצמאי</v>
          </cell>
          <cell r="G8">
            <v>3</v>
          </cell>
        </row>
        <row r="9">
          <cell r="A9">
            <v>13</v>
          </cell>
          <cell r="B9">
            <v>0.23</v>
          </cell>
          <cell r="C9">
            <v>0.215</v>
          </cell>
          <cell r="D9">
            <v>0.215</v>
          </cell>
          <cell r="F9" t="str">
            <v>בעל שליטה</v>
          </cell>
          <cell r="G9">
            <v>4</v>
          </cell>
        </row>
        <row r="10">
          <cell r="A10">
            <v>14</v>
          </cell>
          <cell r="B10">
            <v>0.16</v>
          </cell>
          <cell r="C10">
            <v>0.15</v>
          </cell>
          <cell r="D10">
            <v>0.23</v>
          </cell>
        </row>
        <row r="11">
          <cell r="A11">
            <v>15</v>
          </cell>
          <cell r="B11">
            <v>0.215</v>
          </cell>
          <cell r="C11">
            <v>0.1</v>
          </cell>
          <cell r="D11">
            <v>0.25</v>
          </cell>
        </row>
        <row r="12">
          <cell r="A12">
            <v>12</v>
          </cell>
          <cell r="B12">
            <v>0.1</v>
          </cell>
          <cell r="C12">
            <v>0.15</v>
          </cell>
          <cell r="D12">
            <v>0.23</v>
          </cell>
        </row>
      </sheetData>
      <sheetData sheetId="1">
        <row r="2">
          <cell r="C2" t="str">
            <v>שכיר</v>
          </cell>
        </row>
        <row r="3">
          <cell r="C3" t="str">
            <v>עצמאי</v>
          </cell>
        </row>
        <row r="4">
          <cell r="C4" t="str">
            <v>שכיר</v>
          </cell>
        </row>
        <row r="5">
          <cell r="C5" t="str">
            <v>שכיר</v>
          </cell>
        </row>
        <row r="6">
          <cell r="C6" t="str">
            <v>שכיר</v>
          </cell>
        </row>
        <row r="7">
          <cell r="C7" t="str">
            <v>עצמאי</v>
          </cell>
        </row>
        <row r="8">
          <cell r="C8" t="str">
            <v>עצמאי</v>
          </cell>
        </row>
        <row r="9">
          <cell r="C9" t="str">
            <v>עצמאי</v>
          </cell>
        </row>
        <row r="10">
          <cell r="C10" t="str">
            <v>עצמאי</v>
          </cell>
        </row>
        <row r="11">
          <cell r="C11" t="str">
            <v>בעל שליטה</v>
          </cell>
        </row>
        <row r="12">
          <cell r="C12" t="str">
            <v>שכיר</v>
          </cell>
        </row>
        <row r="13">
          <cell r="C13" t="str">
            <v>שכיר</v>
          </cell>
        </row>
        <row r="14">
          <cell r="C14" t="str">
            <v>בעל שליטה</v>
          </cell>
        </row>
        <row r="15">
          <cell r="C15" t="str">
            <v>בעל שליטה</v>
          </cell>
        </row>
        <row r="16">
          <cell r="C16" t="str">
            <v>שכיר</v>
          </cell>
        </row>
        <row r="17">
          <cell r="C17" t="str">
            <v>שכיר</v>
          </cell>
        </row>
        <row r="18">
          <cell r="C18" t="str">
            <v>שכיר</v>
          </cell>
        </row>
        <row r="19">
          <cell r="C19" t="str">
            <v>שכיר</v>
          </cell>
        </row>
        <row r="20">
          <cell r="C20" t="str">
            <v>עצמאי</v>
          </cell>
        </row>
        <row r="21">
          <cell r="C21" t="str">
            <v>עצמאי</v>
          </cell>
        </row>
        <row r="22">
          <cell r="C22" t="str">
            <v>עצמאי</v>
          </cell>
        </row>
        <row r="23">
          <cell r="C23" t="str">
            <v>בעל שליטה</v>
          </cell>
        </row>
        <row r="24">
          <cell r="C24" t="str">
            <v>בעל שליטה</v>
          </cell>
        </row>
        <row r="25">
          <cell r="C25" t="str">
            <v>שכיר</v>
          </cell>
        </row>
        <row r="26">
          <cell r="C26" t="str">
            <v>בעל שליטה</v>
          </cell>
        </row>
      </sheetData>
      <sheetData sheetId="2" refreshError="1"/>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גיליון1"/>
      <sheetName val="גיליון2"/>
      <sheetName val="לקוחות"/>
      <sheetName val="איש הקשר"/>
      <sheetName val="התפלגות לקוחות והכנסות"/>
      <sheetName val="דוח לקוחות"/>
    </sheetNames>
    <sheetDataSet>
      <sheetData sheetId="0" refreshError="1">
        <row r="3">
          <cell r="A3" t="str">
            <v>אנליסט</v>
          </cell>
          <cell r="B3">
            <v>22000</v>
          </cell>
          <cell r="C3">
            <v>500</v>
          </cell>
        </row>
        <row r="4">
          <cell r="A4" t="str">
            <v>שותף ניהול</v>
          </cell>
          <cell r="B4">
            <v>25000</v>
          </cell>
          <cell r="C4">
            <v>300</v>
          </cell>
        </row>
        <row r="5">
          <cell r="A5" t="str">
            <v>מנכ"ל</v>
          </cell>
          <cell r="B5">
            <v>13000</v>
          </cell>
          <cell r="C5">
            <v>750</v>
          </cell>
        </row>
        <row r="6">
          <cell r="A6" t="str">
            <v>יועץ</v>
          </cell>
          <cell r="B6">
            <v>12500</v>
          </cell>
          <cell r="C6">
            <v>250</v>
          </cell>
        </row>
        <row r="7">
          <cell r="A7" t="str">
            <v>מנהל מחלקת רכש</v>
          </cell>
          <cell r="B7">
            <v>10000</v>
          </cell>
          <cell r="C7">
            <v>550</v>
          </cell>
        </row>
        <row r="8">
          <cell r="A8" t="str">
            <v>מנהל</v>
          </cell>
          <cell r="B8">
            <v>15000</v>
          </cell>
          <cell r="C8">
            <v>400</v>
          </cell>
          <cell r="Q8" t="str">
            <v>רעננה</v>
          </cell>
          <cell r="R8">
            <v>2</v>
          </cell>
        </row>
        <row r="9">
          <cell r="A9" t="str">
            <v>רכש בכיר</v>
          </cell>
          <cell r="B9">
            <v>12000</v>
          </cell>
          <cell r="C9">
            <v>150</v>
          </cell>
          <cell r="Q9" t="str">
            <v>כפר סבא</v>
          </cell>
          <cell r="R9">
            <v>3</v>
          </cell>
        </row>
        <row r="10">
          <cell r="Q10" t="str">
            <v>חולון</v>
          </cell>
          <cell r="R10">
            <v>4</v>
          </cell>
        </row>
        <row r="11">
          <cell r="Q11" t="str">
            <v>ראשון לציון</v>
          </cell>
          <cell r="R11">
            <v>5</v>
          </cell>
        </row>
        <row r="12">
          <cell r="Q12" t="str">
            <v>רחובות</v>
          </cell>
          <cell r="R12">
            <v>6</v>
          </cell>
        </row>
        <row r="13">
          <cell r="Q13" t="str">
            <v>נס-ציונה</v>
          </cell>
          <cell r="R13">
            <v>7</v>
          </cell>
        </row>
        <row r="14">
          <cell r="A14" t="str">
            <v>רבעון 1</v>
          </cell>
          <cell r="B14" t="str">
            <v>מוצר חינם</v>
          </cell>
          <cell r="C14" t="str">
            <v>זיכוי ברכישה הבאה</v>
          </cell>
          <cell r="D14" t="str">
            <v>אין הטבה</v>
          </cell>
          <cell r="E14" t="str">
            <v>הנחה על הרכישה הבאה</v>
          </cell>
          <cell r="F14" t="str">
            <v>זיכוי ברכישה הבאה</v>
          </cell>
          <cell r="G14" t="str">
            <v>מוצר חינם</v>
          </cell>
          <cell r="H14" t="str">
            <v>זיכוי ברכישה הבאה</v>
          </cell>
          <cell r="I14" t="str">
            <v>הנחה על הרכישה הבאה</v>
          </cell>
          <cell r="J14" t="str">
            <v>אין הטבה</v>
          </cell>
          <cell r="K14" t="str">
            <v>זיכוי ברכישה הבאה</v>
          </cell>
          <cell r="L14" t="str">
            <v>אין הטבה</v>
          </cell>
          <cell r="M14" t="str">
            <v>הנחה על הרכישה הבאה</v>
          </cell>
          <cell r="Q14" t="str">
            <v>הרצליה</v>
          </cell>
          <cell r="R14">
            <v>8</v>
          </cell>
        </row>
        <row r="15">
          <cell r="A15" t="str">
            <v>רבעון 2</v>
          </cell>
          <cell r="B15" t="str">
            <v>הנחה על הרכישה הבאה</v>
          </cell>
          <cell r="C15" t="str">
            <v>זיכוי ברכישה הבאה</v>
          </cell>
          <cell r="D15" t="str">
            <v>הנחה על הרכישה הבאה</v>
          </cell>
          <cell r="E15" t="str">
            <v>מוצר חינם</v>
          </cell>
          <cell r="F15" t="str">
            <v>אין הטבה</v>
          </cell>
          <cell r="G15" t="str">
            <v>זיכוי ברכישה הבאה</v>
          </cell>
          <cell r="H15" t="str">
            <v>הנחה על הרכישה הבאה</v>
          </cell>
          <cell r="I15" t="str">
            <v>מוצר חינם</v>
          </cell>
          <cell r="J15" t="str">
            <v>זיכוי ברכישה הבאה</v>
          </cell>
          <cell r="K15" t="str">
            <v>הנחה על הרכישה הבאה</v>
          </cell>
          <cell r="L15" t="str">
            <v>מוצר חינם</v>
          </cell>
          <cell r="M15" t="str">
            <v>הנחה על הרכישה הבאה</v>
          </cell>
          <cell r="Q15" t="str">
            <v>יבנה</v>
          </cell>
          <cell r="R15">
            <v>9</v>
          </cell>
        </row>
        <row r="16">
          <cell r="A16" t="str">
            <v>רבעון 3</v>
          </cell>
          <cell r="B16" t="str">
            <v>אין הטבה</v>
          </cell>
          <cell r="C16" t="str">
            <v>הנחה על הרכישה הבאה</v>
          </cell>
          <cell r="D16" t="str">
            <v>מוצר חינם</v>
          </cell>
          <cell r="E16" t="str">
            <v>הנחה על הרכישה הבאה</v>
          </cell>
          <cell r="F16" t="str">
            <v>זיכוי ברכישה הבאה</v>
          </cell>
          <cell r="G16" t="str">
            <v>הנחה על הרכישה הבאה</v>
          </cell>
          <cell r="H16" t="str">
            <v>מוצר חינם</v>
          </cell>
          <cell r="I16" t="str">
            <v>זיכוי ברכישה הבאה</v>
          </cell>
          <cell r="J16" t="str">
            <v>זיכוי ברכישה הבאה</v>
          </cell>
          <cell r="K16" t="str">
            <v>מוצר חינם</v>
          </cell>
          <cell r="L16" t="str">
            <v>זיכוי ברכישה הבאה</v>
          </cell>
          <cell r="M16" t="str">
            <v>אין הטבה</v>
          </cell>
          <cell r="Q16" t="str">
            <v>ירושלים</v>
          </cell>
          <cell r="R16">
            <v>10</v>
          </cell>
        </row>
        <row r="17">
          <cell r="A17" t="str">
            <v>רבעון 4</v>
          </cell>
          <cell r="B17" t="str">
            <v>מוצר חינם</v>
          </cell>
          <cell r="C17" t="str">
            <v>הנחה על הרכישה הבאה</v>
          </cell>
          <cell r="D17" t="str">
            <v>זיכוי ברכישה הבאה</v>
          </cell>
          <cell r="E17" t="str">
            <v>זיכוי ברכישה הבאה</v>
          </cell>
          <cell r="F17" t="str">
            <v>הנחה על הרכישה הבאה</v>
          </cell>
          <cell r="G17" t="str">
            <v>מוצר חינם</v>
          </cell>
          <cell r="H17" t="str">
            <v>זיכוי ברכישה הבאה</v>
          </cell>
          <cell r="I17" t="str">
            <v>אין הטבה</v>
          </cell>
          <cell r="J17" t="str">
            <v>זיכוי ברכישה הבאה</v>
          </cell>
          <cell r="K17" t="str">
            <v>אין הטבה</v>
          </cell>
          <cell r="L17" t="str">
            <v>זיכוי ברכישה הבאה</v>
          </cell>
          <cell r="M17" t="str">
            <v>מוצר חינם</v>
          </cell>
          <cell r="Q17" t="str">
            <v>חיפה</v>
          </cell>
          <cell r="R17">
            <v>11</v>
          </cell>
        </row>
        <row r="18">
          <cell r="Q18" t="str">
            <v>באר שבע</v>
          </cell>
          <cell r="R18">
            <v>12</v>
          </cell>
        </row>
        <row r="19">
          <cell r="Q19" t="str">
            <v>קרית אתא</v>
          </cell>
          <cell r="R19">
            <v>13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פרטים"/>
      <sheetName val="נתוני עזר"/>
      <sheetName val="לקוחות"/>
      <sheetName val="ניתוח סך הפדיון"/>
      <sheetName val="פדיון"/>
      <sheetName val="ניתוח  סך הפדיון"/>
      <sheetName val="גיליון1"/>
      <sheetName val="ניתוח  סך הפדיון (2)"/>
      <sheetName val="ניתוח  סך הפדיון (3)"/>
    </sheetNames>
    <sheetDataSet>
      <sheetData sheetId="0"/>
      <sheetData sheetId="1">
        <row r="4">
          <cell r="B4">
            <v>1</v>
          </cell>
          <cell r="C4" t="str">
            <v>העברה בנקאית</v>
          </cell>
        </row>
        <row r="5">
          <cell r="B5">
            <v>2</v>
          </cell>
          <cell r="C5" t="str">
            <v>מזומן</v>
          </cell>
        </row>
        <row r="6">
          <cell r="B6">
            <v>3</v>
          </cell>
          <cell r="C6" t="str">
            <v>צ'קים</v>
          </cell>
        </row>
        <row r="7">
          <cell r="B7">
            <v>4</v>
          </cell>
          <cell r="C7" t="str">
            <v>מס"ב</v>
          </cell>
        </row>
      </sheetData>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ם נוספים"/>
      <sheetName val="השקעות"/>
      <sheetName val="סך השקעה לכל חודש"/>
      <sheetName val="סינון"/>
      <sheetName val="מחקר"/>
      <sheetName val="ניתוח"/>
    </sheetNames>
    <sheetDataSet>
      <sheetData sheetId="0" refreshError="1">
        <row r="4">
          <cell r="A4" t="str">
            <v>קרן השקעה</v>
          </cell>
          <cell r="B4" t="str">
            <v>שכיר</v>
          </cell>
          <cell r="C4" t="str">
            <v>עצמאי</v>
          </cell>
          <cell r="D4" t="str">
            <v>בעל שליטה</v>
          </cell>
          <cell r="F4" t="str">
            <v>שכיר</v>
          </cell>
          <cell r="G4">
            <v>2</v>
          </cell>
        </row>
        <row r="5">
          <cell r="A5">
            <v>10</v>
          </cell>
          <cell r="B5">
            <v>0.15</v>
          </cell>
          <cell r="C5">
            <v>0.15</v>
          </cell>
          <cell r="D5">
            <v>0.1</v>
          </cell>
          <cell r="F5" t="str">
            <v>עצמאי</v>
          </cell>
          <cell r="G5">
            <v>3</v>
          </cell>
        </row>
        <row r="6">
          <cell r="A6">
            <v>13</v>
          </cell>
          <cell r="B6">
            <v>0.23</v>
          </cell>
          <cell r="C6">
            <v>0.215</v>
          </cell>
          <cell r="D6">
            <v>0.215</v>
          </cell>
          <cell r="F6" t="str">
            <v>בעל שליטה</v>
          </cell>
          <cell r="G6">
            <v>4</v>
          </cell>
        </row>
        <row r="7">
          <cell r="A7">
            <v>14</v>
          </cell>
          <cell r="B7">
            <v>0.16</v>
          </cell>
          <cell r="C7">
            <v>0.15</v>
          </cell>
          <cell r="D7">
            <v>0.23</v>
          </cell>
        </row>
        <row r="8">
          <cell r="A8">
            <v>15</v>
          </cell>
          <cell r="B8">
            <v>0.215</v>
          </cell>
          <cell r="C8">
            <v>0.1</v>
          </cell>
          <cell r="D8">
            <v>0.25</v>
          </cell>
        </row>
        <row r="9">
          <cell r="A9">
            <v>12</v>
          </cell>
          <cell r="B9">
            <v>0.1</v>
          </cell>
          <cell r="C9">
            <v>0.15</v>
          </cell>
          <cell r="D9">
            <v>0.23</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הגיליון הכי חשוב"/>
      <sheetName val="פעמיים VLOOKUP"/>
      <sheetName val="DATE"/>
      <sheetName val="תנאי בתוך תנאי"/>
      <sheetName val="AverageIf"/>
      <sheetName val="חתירה למטרה 1"/>
      <sheetName val="חתירה למטרה 2"/>
      <sheetName val="countIf"/>
      <sheetName val="סינון מתקדם1"/>
      <sheetName val="גיליון1"/>
      <sheetName val="תוצאות סינון מתקדם 1"/>
      <sheetName val="סינון מתקדם2"/>
      <sheetName val="תוצאות סינון מתקדם 2"/>
      <sheetName val="VlookUp"/>
      <sheetName val="FREQUENCY"/>
      <sheetName val="Dsum"/>
      <sheetName val="ריבוי תנאי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שכיר</v>
          </cell>
        </row>
        <row r="3">
          <cell r="C3" t="str">
            <v>עצמאי</v>
          </cell>
        </row>
        <row r="4">
          <cell r="C4" t="str">
            <v>שכיר</v>
          </cell>
        </row>
        <row r="5">
          <cell r="C5" t="str">
            <v>שכיר</v>
          </cell>
        </row>
        <row r="6">
          <cell r="C6" t="str">
            <v>שכיר</v>
          </cell>
        </row>
        <row r="7">
          <cell r="C7" t="str">
            <v>עצמאי</v>
          </cell>
        </row>
        <row r="8">
          <cell r="C8" t="str">
            <v>עצמאי</v>
          </cell>
        </row>
        <row r="9">
          <cell r="C9" t="str">
            <v>עצמאי</v>
          </cell>
        </row>
        <row r="10">
          <cell r="C10" t="str">
            <v>עצמאי</v>
          </cell>
        </row>
        <row r="11">
          <cell r="C11" t="str">
            <v>בעל שליטה</v>
          </cell>
        </row>
        <row r="12">
          <cell r="C12" t="str">
            <v>שכיר</v>
          </cell>
        </row>
        <row r="13">
          <cell r="C13" t="str">
            <v>שכיר</v>
          </cell>
        </row>
        <row r="14">
          <cell r="C14" t="str">
            <v>בעל שליטה</v>
          </cell>
        </row>
        <row r="15">
          <cell r="C15" t="str">
            <v>בעל שליטה</v>
          </cell>
        </row>
        <row r="16">
          <cell r="C16" t="str">
            <v>שכיר</v>
          </cell>
        </row>
        <row r="17">
          <cell r="C17" t="str">
            <v>שכיר</v>
          </cell>
        </row>
        <row r="18">
          <cell r="C18" t="str">
            <v>שכיר</v>
          </cell>
        </row>
        <row r="19">
          <cell r="C19" t="str">
            <v>שכיר</v>
          </cell>
        </row>
        <row r="20">
          <cell r="C20" t="str">
            <v>עצמאי</v>
          </cell>
        </row>
        <row r="21">
          <cell r="C21" t="str">
            <v>עצמאי</v>
          </cell>
        </row>
        <row r="22">
          <cell r="C22" t="str">
            <v>עצמאי</v>
          </cell>
        </row>
        <row r="23">
          <cell r="C23" t="str">
            <v>בעל שליטה</v>
          </cell>
        </row>
        <row r="24">
          <cell r="C24" t="str">
            <v>בעל שליטה</v>
          </cell>
        </row>
        <row r="25">
          <cell r="C25" t="str">
            <v>שכיר</v>
          </cell>
        </row>
        <row r="26">
          <cell r="C26" t="str">
            <v>בעל שליטה</v>
          </cell>
        </row>
        <row r="28">
          <cell r="B28">
            <v>3.1</v>
          </cell>
        </row>
      </sheetData>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נתוני עזר"/>
      <sheetName val="תושבים"/>
      <sheetName val="התפלגות מתנות"/>
      <sheetName val="עדכון מס הכנסה"/>
      <sheetName val="דו&quot;ח להנהלה"/>
    </sheetNames>
    <sheetDataSet>
      <sheetData sheetId="0" refreshError="1">
        <row r="4">
          <cell r="A4" t="str">
            <v>ירושלים</v>
          </cell>
          <cell r="C4" t="str">
            <v>מרכז</v>
          </cell>
        </row>
        <row r="5">
          <cell r="A5" t="str">
            <v>אשדוד</v>
          </cell>
          <cell r="C5" t="str">
            <v>דרום</v>
          </cell>
        </row>
        <row r="6">
          <cell r="A6" t="str">
            <v>פתח תקוה</v>
          </cell>
          <cell r="C6" t="str">
            <v>מרכז</v>
          </cell>
        </row>
        <row r="7">
          <cell r="A7" t="str">
            <v>נהריה</v>
          </cell>
          <cell r="C7" t="str">
            <v>צפון</v>
          </cell>
        </row>
        <row r="8">
          <cell r="A8" t="str">
            <v>חולון</v>
          </cell>
          <cell r="C8" t="str">
            <v>מרכז</v>
          </cell>
        </row>
        <row r="9">
          <cell r="A9" t="str">
            <v>חיפה</v>
          </cell>
          <cell r="C9" t="str">
            <v>צפון</v>
          </cell>
        </row>
        <row r="10">
          <cell r="A10" t="str">
            <v>ראשון לציון</v>
          </cell>
          <cell r="C10" t="str">
            <v>מרכז</v>
          </cell>
        </row>
        <row r="11">
          <cell r="A11" t="str">
            <v>תל-אביב יפו</v>
          </cell>
          <cell r="C11" t="str">
            <v>מרכז</v>
          </cell>
        </row>
      </sheetData>
      <sheetData sheetId="1" refreshError="1"/>
      <sheetData sheetId="2" refreshError="1"/>
      <sheetData sheetId="3" refreshError="1"/>
      <sheetData sheetId="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19:51:35.130"/>
    </inkml:context>
    <inkml:brush xml:id="br0">
      <inkml:brushProperty name="width" value="0.05" units="cm"/>
      <inkml:brushProperty name="height" value="0.05" units="cm"/>
      <inkml:brushProperty name="color" value="#F6630D"/>
    </inkml:brush>
  </inkml:definitions>
  <inkml:trace contextRef="#ctx0" brushRef="#br0">0 4 24575,'4'-4'0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8:08.48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7.14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5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7.14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6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7.14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7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8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19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0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1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2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19:51:35.14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4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5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6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5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7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8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29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0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1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2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19:51:35.1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4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5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6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7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6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8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39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0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1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2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2:06.48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4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5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6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7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7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8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49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0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1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2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2:06.48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4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5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6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7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8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8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59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0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1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2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3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2:06.48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4"/>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5"/>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6"/>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7"/>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8"/>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49"/>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50"/>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51"/>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52"/>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45.653"/>
    </inkml:context>
    <inkml:brush xml:id="br0">
      <inkml:brushProperty name="width" value="0.05" units="cm"/>
      <inkml:brushProperty name="height" value="0.05" units="cm"/>
      <inkml:brushProperty name="color" value="#F6630D"/>
    </inkml:brush>
  </inkml:definitions>
  <inkml:trace contextRef="#ctx0" brushRef="#br0">0 0 24575,'0'0'-8191</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31.36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3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4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5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29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6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7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8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29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0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1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2:06.48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2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3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4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5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0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6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7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8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39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0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1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2:06.49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2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21:57.43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1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2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3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4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5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6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7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8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19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0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1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2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3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4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5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6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7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7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8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29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0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1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1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2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3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4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2-05T08:20:01.35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2-05T08:36:25.897"/>
    </inkml:context>
    <inkml:brush xml:id="br0">
      <inkml:brushProperty name="width" value="0.3" units="cm"/>
      <inkml:brushProperty name="height" value="0.6" units="cm"/>
      <inkml:brushProperty name="color" value="#FFACD5"/>
      <inkml:brushProperty name="tip" value="rectangle"/>
      <inkml:brushProperty name="rasterOp" value="maskPen"/>
      <inkml:brushProperty name="ignorePressure" value="1"/>
    </inkml:brush>
  </inkml:definitions>
  <inkml:trace contextRef="#ctx0" brushRef="#br0">2413 1,'34'2,"0"2,0 1,-1 2,0 2,60 23,-53-18,-26-6,-24-4,-35-2,39-2,-917 1,402-4,274 1,-417 12,614-4,1 2,-79 23,126-30,-12 2,0 0,-23 2,20-4</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2-05T08:36:31.585"/>
    </inkml:context>
    <inkml:brush xml:id="br0">
      <inkml:brushProperty name="width" value="0.3" units="cm"/>
      <inkml:brushProperty name="height" value="0.6" units="cm"/>
      <inkml:brushProperty name="color" value="#FFACD5"/>
      <inkml:brushProperty name="tip" value="rectangle"/>
      <inkml:brushProperty name="rasterOp" value="maskPen"/>
      <inkml:brushProperty name="ignorePressure" value="1"/>
    </inkml:brush>
  </inkml:definitions>
  <inkml:trace contextRef="#ctx0" brushRef="#br0">0 1,'510'27,"-5"33,24 3,3-39,-502-24,1-2,0 0,-1-3,0 0,0-2,35-13,-64 20,1 0,0-1,-1 1,1-1,-1 0,1 0,-1 0,1 1,-1-1,0-1,1 1,-1 0,0 0,0 0,0-1,0 1,0 0,0-1,1-1,-2 2,0 0,-1 0,1 0,0 0,-1 0,1 0,-1 0,1 0,-1 0,1 0,-1 0,0 0,1 1,-1-1,0 0,0 0,1 1,-1-1,0 1,0-1,0 1,0-1,0 1,0-1,0 1,0 0,0 0,0 0,-2-1,-16-4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4"/>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8:08.48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5"/>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6"/>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7"/>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8"/>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29"/>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0"/>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1"/>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2"/>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3"/>
    </inkml:context>
    <inkml:brush xml:id="br0">
      <inkml:brushProperty name="width" value="0.05" units="cm"/>
      <inkml:brushProperty name="height" value="0.05" units="cm"/>
      <inkml:brushProperty name="color" value="#F6630D"/>
    </inkml:brush>
  </inkml:definitions>
  <inkml:trace contextRef="#ctx0" brushRef="#br0">0 0 24575</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1-28T20:19:39.334"/>
    </inkml:context>
    <inkml:brush xml:id="br0">
      <inkml:brushProperty name="width" value="0.05" units="cm"/>
      <inkml:brushProperty name="height" value="0.05" units="cm"/>
      <inkml:brushProperty name="color" value="#F6630D"/>
    </inkml:brush>
  </inkml:definitions>
  <inkml:trace contextRef="#ctx0" brushRef="#br0">0 0 24575</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97509-6ED7-4F67-8567-074794DACA7A}">
  <dimension ref="A1"/>
  <sheetViews>
    <sheetView rightToLeft="1" tabSelected="1" workbookViewId="0">
      <selection activeCell="C44" sqref="C44"/>
    </sheetView>
  </sheetViews>
  <sheetFormatPr defaultRowHeight="13.8"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48CD-E266-4607-B155-258D6935F71F}">
  <sheetPr>
    <tabColor rgb="FFFFC000"/>
  </sheetPr>
  <dimension ref="A1:W61"/>
  <sheetViews>
    <sheetView rightToLeft="1" topLeftCell="E5" zoomScale="115" zoomScaleNormal="115" workbookViewId="0">
      <selection activeCell="W1" sqref="W1:W5"/>
    </sheetView>
  </sheetViews>
  <sheetFormatPr defaultColWidth="8.69921875" defaultRowHeight="15.6" x14ac:dyDescent="0.25"/>
  <cols>
    <col min="1" max="1" width="11.09765625" style="45" hidden="1" customWidth="1"/>
    <col min="2" max="2" width="14.8984375" style="45" hidden="1" customWidth="1"/>
    <col min="3" max="3" width="10.3984375" style="45" hidden="1" customWidth="1"/>
    <col min="4" max="4" width="13.19921875" style="45" hidden="1" customWidth="1"/>
    <col min="5" max="5" width="13" style="45" customWidth="1"/>
    <col min="6" max="6" width="19" style="45" hidden="1" customWidth="1"/>
    <col min="7" max="7" width="0" style="28" hidden="1" customWidth="1"/>
    <col min="8" max="8" width="12.19921875" style="28" customWidth="1"/>
    <col min="9" max="9" width="17.296875" style="28" customWidth="1"/>
    <col min="10" max="10" width="18.3984375" style="28" hidden="1" customWidth="1"/>
    <col min="11" max="11" width="9.09765625" style="28" customWidth="1"/>
    <col min="12" max="12" width="11" style="28" hidden="1" customWidth="1"/>
    <col min="13" max="13" width="14.8984375" style="28" customWidth="1"/>
    <col min="14" max="17" width="14.09765625" style="28" hidden="1" customWidth="1"/>
    <col min="18" max="18" width="11.5" style="28" bestFit="1" customWidth="1"/>
    <col min="19" max="19" width="16.8984375" style="28" bestFit="1" customWidth="1"/>
    <col min="20" max="20" width="14.69921875" style="28" customWidth="1"/>
    <col min="21" max="21" width="59.69921875" style="28" customWidth="1"/>
    <col min="22" max="22" width="16.3984375" style="28" customWidth="1"/>
    <col min="23" max="23" width="29.59765625" style="28" customWidth="1"/>
    <col min="24" max="16384" width="8.69921875" style="28"/>
  </cols>
  <sheetData>
    <row r="1" spans="1:23" ht="31.8" thickBot="1" x14ac:dyDescent="0.3">
      <c r="A1" s="154" t="s">
        <v>107</v>
      </c>
      <c r="B1" s="154" t="s">
        <v>36</v>
      </c>
      <c r="C1" s="154" t="s">
        <v>108</v>
      </c>
      <c r="D1" s="155" t="s">
        <v>109</v>
      </c>
      <c r="E1" s="156" t="s">
        <v>110</v>
      </c>
      <c r="F1" s="154" t="s">
        <v>37</v>
      </c>
      <c r="G1" s="155" t="s">
        <v>111</v>
      </c>
      <c r="H1" s="157" t="s">
        <v>112</v>
      </c>
      <c r="I1" s="189" t="s">
        <v>113</v>
      </c>
      <c r="J1" s="159" t="s">
        <v>38</v>
      </c>
      <c r="K1" s="159" t="s">
        <v>114</v>
      </c>
      <c r="L1" s="159" t="s">
        <v>115</v>
      </c>
      <c r="M1" s="158" t="s">
        <v>206</v>
      </c>
      <c r="N1" s="159" t="s">
        <v>116</v>
      </c>
      <c r="O1" s="159" t="s">
        <v>117</v>
      </c>
      <c r="P1" s="159" t="s">
        <v>118</v>
      </c>
      <c r="Q1" s="27" t="s">
        <v>119</v>
      </c>
      <c r="S1" s="71"/>
      <c r="T1" s="71"/>
      <c r="U1" s="30"/>
      <c r="W1" s="28" t="s">
        <v>194</v>
      </c>
    </row>
    <row r="2" spans="1:23" x14ac:dyDescent="0.25">
      <c r="A2" s="35" t="s">
        <v>122</v>
      </c>
      <c r="B2" s="36">
        <v>44201</v>
      </c>
      <c r="C2" s="35" t="s">
        <v>8</v>
      </c>
      <c r="D2" s="35" t="s">
        <v>123</v>
      </c>
      <c r="E2" s="35" t="s">
        <v>64</v>
      </c>
      <c r="F2" s="35" t="s">
        <v>40</v>
      </c>
      <c r="G2" s="162" t="s">
        <v>124</v>
      </c>
      <c r="H2" s="163">
        <v>0.03</v>
      </c>
      <c r="I2" s="37">
        <v>102356</v>
      </c>
      <c r="J2" s="37">
        <f ca="1">(YEAR(TODAY())-YEAR(B2))*VLOOKUP(F2,'[4]נתונים נוספים'!$A$3:$C$9,3,FALSE)+VLOOKUP(F2,'[4]נתונים נוספים'!$A$3:$C$9,2,FALSE)</f>
        <v>24500</v>
      </c>
      <c r="K2" s="44" t="str">
        <f t="shared" ref="K2:K28" si="0">IF(MONTH(B2)&lt;=$H$58,$I$58,IF(MONTH(B2)&lt;=$H$59,$I$59,IF(MONTH(B2)&lt;=$H$60,$I$60,$I$61)))</f>
        <v>רבעון 1</v>
      </c>
      <c r="L2" s="44" t="str">
        <f>VLOOKUP(K2,'[4]נתונים נוספים'!$A$14:$M$17,VLOOKUP(E2,'[4]נתונים נוספים'!$Q$8:$R$19,2,FALSE),FALSE)</f>
        <v>מוצר חינם</v>
      </c>
      <c r="M2" s="40">
        <f t="shared" ref="M2:M27" si="1">IF(K2=$J$48,DATE(YEAR(B2)+$K$48,MONTH(B2),DAY(B2)),IF(OR(YEAR(B2)=$J$49,YEAR(B2)=$J$50),DATE(YEAR(B2)+$K$49,MONTH(B2),DAY(B2)+$L$49),DATE(YEAR($J$51)+$K$51,MONTH($J$51),DAY($J$51))))</f>
        <v>46397</v>
      </c>
      <c r="N2" s="44">
        <f t="shared" ref="N2:N28" si="2">IF(WEEKDAY(M2)=$J$52,$K$52,WEEKDAY(M2))</f>
        <v>1</v>
      </c>
      <c r="O2" s="44" t="e">
        <f>IF(AND(I2&lt;=#REF!,OR(E2=#REF!,E2=#REF!)),$W$34,IF(AND(I2&gt;#REF!,OR(E2=#REF!,E2=#REF!)),$W$35,IF(AND(MONTH(B2)&lt;=#REF!,OR(E2=#REF!,E2=$U$37)),$W$36,$W$38)))</f>
        <v>#REF!</v>
      </c>
      <c r="P2" s="160" t="e">
        <f t="shared" ref="P2:P28" ca="1" si="3">(TODAY()-B2)/365*(I2-O2*12)</f>
        <v>#REF!</v>
      </c>
      <c r="Q2" s="39" t="e">
        <f t="shared" ref="Q2:Q28" ca="1" si="4">P2*(1-H2)</f>
        <v>#REF!</v>
      </c>
      <c r="R2" s="164"/>
      <c r="S2" s="188" t="s">
        <v>191</v>
      </c>
      <c r="T2" s="30"/>
      <c r="U2" s="188" t="s">
        <v>192</v>
      </c>
      <c r="W2" s="188" t="s">
        <v>193</v>
      </c>
    </row>
    <row r="3" spans="1:23" x14ac:dyDescent="0.25">
      <c r="A3" s="35" t="s">
        <v>125</v>
      </c>
      <c r="B3" s="36">
        <v>44207</v>
      </c>
      <c r="C3" s="35" t="s">
        <v>10</v>
      </c>
      <c r="D3" s="35" t="s">
        <v>126</v>
      </c>
      <c r="E3" s="35" t="s">
        <v>65</v>
      </c>
      <c r="F3" s="35" t="s">
        <v>41</v>
      </c>
      <c r="G3" s="162" t="s">
        <v>127</v>
      </c>
      <c r="H3" s="163">
        <v>0.01</v>
      </c>
      <c r="I3" s="37">
        <v>256968</v>
      </c>
      <c r="J3" s="37">
        <f ca="1">(YEAR(TODAY())-YEAR(B3))*VLOOKUP(F3,'[4]נתונים נוספים'!$A$3:$C$9,3,FALSE)+VLOOKUP(F3,'[4]נתונים נוספים'!$A$3:$C$9,2,FALSE)</f>
        <v>26500</v>
      </c>
      <c r="K3" s="44" t="str">
        <f t="shared" si="0"/>
        <v>רבעון 1</v>
      </c>
      <c r="L3" s="44" t="str">
        <f>VLOOKUP(K3,'[4]נתונים נוספים'!$A$14:$M$17,VLOOKUP(E3,'[4]נתונים נוספים'!$Q$8:$R$19,2,FALSE),FALSE)</f>
        <v>זיכוי ברכישה הבאה</v>
      </c>
      <c r="M3" s="40">
        <f t="shared" si="1"/>
        <v>46403</v>
      </c>
      <c r="N3" s="44" t="str">
        <f t="shared" si="2"/>
        <v>ייקבע מועד אחר</v>
      </c>
      <c r="O3" s="44" t="e">
        <f>IF(AND(I3&lt;=#REF!,OR(E3=#REF!,E3=#REF!)),$W$34,IF(AND(I3&gt;#REF!,OR(E3=#REF!,E3=#REF!)),$W$35,IF(AND(MONTH(B3)&lt;=#REF!,OR(E3=#REF!,E3=$U$37)),$W$36,$W$38)))</f>
        <v>#REF!</v>
      </c>
      <c r="P3" s="160" t="e">
        <f t="shared" ca="1" si="3"/>
        <v>#REF!</v>
      </c>
      <c r="Q3" s="39" t="e">
        <f t="shared" ca="1" si="4"/>
        <v>#REF!</v>
      </c>
      <c r="S3" s="186" t="s">
        <v>188</v>
      </c>
      <c r="U3" s="186" t="s">
        <v>184</v>
      </c>
      <c r="W3" s="186" t="s">
        <v>185</v>
      </c>
    </row>
    <row r="4" spans="1:23" x14ac:dyDescent="0.25">
      <c r="A4" s="35" t="s">
        <v>128</v>
      </c>
      <c r="B4" s="36">
        <v>43113</v>
      </c>
      <c r="C4" s="35" t="s">
        <v>12</v>
      </c>
      <c r="D4" s="35" t="s">
        <v>129</v>
      </c>
      <c r="E4" s="35" t="s">
        <v>66</v>
      </c>
      <c r="F4" s="35" t="s">
        <v>42</v>
      </c>
      <c r="G4" s="162" t="s">
        <v>124</v>
      </c>
      <c r="H4" s="163">
        <v>0.05</v>
      </c>
      <c r="I4" s="37">
        <v>110875</v>
      </c>
      <c r="J4" s="37">
        <f ca="1">(YEAR(TODAY())-YEAR(B4))*VLOOKUP(F4,'[4]נתונים נוספים'!$A$3:$C$9,3,FALSE)+VLOOKUP(F4,'[4]נתונים נוספים'!$A$3:$C$9,2,FALSE)</f>
        <v>19000</v>
      </c>
      <c r="K4" s="44" t="str">
        <f t="shared" si="0"/>
        <v>רבעון 1</v>
      </c>
      <c r="L4" s="44" t="str">
        <f>VLOOKUP(K4,'[4]נתונים נוספים'!$A$14:$M$17,VLOOKUP(E4,'[4]נתונים נוספים'!$Q$8:$R$19,2,FALSE),FALSE)</f>
        <v>אין הטבה</v>
      </c>
      <c r="M4" s="40">
        <f t="shared" si="1"/>
        <v>45347</v>
      </c>
      <c r="N4" s="44">
        <f t="shared" si="2"/>
        <v>1</v>
      </c>
      <c r="O4" s="44" t="e">
        <f>IF(AND(I4&lt;=#REF!,OR(E4=#REF!,E4=#REF!)),$W$34,IF(AND(I4&gt;#REF!,OR(E4=#REF!,E4=#REF!)),$W$35,IF(AND(MONTH(B4)&lt;=#REF!,OR(E4=#REF!,E4=$U$37)),$W$36,$W$38)))</f>
        <v>#REF!</v>
      </c>
      <c r="P4" s="160" t="e">
        <f t="shared" ca="1" si="3"/>
        <v>#REF!</v>
      </c>
      <c r="Q4" s="39" t="e">
        <f t="shared" ca="1" si="4"/>
        <v>#REF!</v>
      </c>
      <c r="S4" s="186" t="s">
        <v>189</v>
      </c>
      <c r="U4" s="186" t="s">
        <v>183</v>
      </c>
      <c r="W4" s="186" t="s">
        <v>186</v>
      </c>
    </row>
    <row r="5" spans="1:23" ht="16.2" thickBot="1" x14ac:dyDescent="0.3">
      <c r="A5" s="35" t="s">
        <v>130</v>
      </c>
      <c r="B5" s="36">
        <v>43125</v>
      </c>
      <c r="C5" s="35" t="s">
        <v>13</v>
      </c>
      <c r="D5" s="35" t="s">
        <v>131</v>
      </c>
      <c r="E5" s="35" t="s">
        <v>67</v>
      </c>
      <c r="F5" s="35" t="s">
        <v>43</v>
      </c>
      <c r="G5" s="162" t="s">
        <v>127</v>
      </c>
      <c r="H5" s="163">
        <v>0.01</v>
      </c>
      <c r="I5" s="37">
        <v>236000</v>
      </c>
      <c r="J5" s="37">
        <f ca="1">(YEAR(TODAY())-YEAR(B5))*VLOOKUP(F5,'[4]נתונים נוספים'!$A$3:$C$9,3,FALSE)+VLOOKUP(F5,'[4]נתונים נוספים'!$A$3:$C$9,2,FALSE)</f>
        <v>14500</v>
      </c>
      <c r="K5" s="44" t="str">
        <f t="shared" si="0"/>
        <v>רבעון 1</v>
      </c>
      <c r="L5" s="44" t="str">
        <f>VLOOKUP(K5,'[4]נתונים נוספים'!$A$14:$M$17,VLOOKUP(E5,'[4]נתונים נוספים'!$Q$8:$R$19,2,FALSE),FALSE)</f>
        <v>הנחה על הרכישה הבאה</v>
      </c>
      <c r="M5" s="40">
        <f t="shared" si="1"/>
        <v>45347</v>
      </c>
      <c r="N5" s="44">
        <f t="shared" si="2"/>
        <v>1</v>
      </c>
      <c r="O5" s="44" t="e">
        <f>IF(AND(I5&lt;=#REF!,OR(E5=#REF!,E5=#REF!)),$W$34,IF(AND(I5&gt;#REF!,OR(E5=#REF!,E5=#REF!)),$W$35,IF(AND(MONTH(B5)&lt;=#REF!,OR(E5=#REF!,E5=$U$37)),$W$36,$W$38)))</f>
        <v>#REF!</v>
      </c>
      <c r="P5" s="160" t="e">
        <f t="shared" ca="1" si="3"/>
        <v>#REF!</v>
      </c>
      <c r="Q5" s="39" t="e">
        <f t="shared" ca="1" si="4"/>
        <v>#REF!</v>
      </c>
      <c r="S5" s="187" t="s">
        <v>190</v>
      </c>
      <c r="U5" s="187" t="s">
        <v>182</v>
      </c>
      <c r="W5" s="187" t="s">
        <v>187</v>
      </c>
    </row>
    <row r="6" spans="1:23" x14ac:dyDescent="0.25">
      <c r="A6" s="35" t="s">
        <v>132</v>
      </c>
      <c r="B6" s="36">
        <v>43857</v>
      </c>
      <c r="C6" s="35" t="s">
        <v>14</v>
      </c>
      <c r="D6" s="35" t="s">
        <v>133</v>
      </c>
      <c r="E6" s="35" t="s">
        <v>68</v>
      </c>
      <c r="F6" s="35" t="s">
        <v>44</v>
      </c>
      <c r="G6" s="162" t="s">
        <v>124</v>
      </c>
      <c r="H6" s="163">
        <v>7.0000000000000007E-2</v>
      </c>
      <c r="I6" s="37">
        <v>100000</v>
      </c>
      <c r="J6" s="37">
        <f ca="1">(YEAR(TODAY())-YEAR(B6))*VLOOKUP(F6,'[4]נתונים נוספים'!$A$3:$C$9,3,FALSE)+VLOOKUP(F6,'[4]נתונים נוספים'!$A$3:$C$9,2,FALSE)</f>
        <v>13300</v>
      </c>
      <c r="K6" s="44" t="str">
        <f t="shared" si="0"/>
        <v>רבעון 1</v>
      </c>
      <c r="L6" s="44" t="str">
        <f>VLOOKUP(K6,'[4]נתונים נוספים'!$A$14:$M$17,VLOOKUP(E6,'[4]נתונים נוספים'!$Q$8:$R$19,2,FALSE),FALSE)</f>
        <v>זיכוי ברכישה הבאה</v>
      </c>
      <c r="M6" s="40">
        <f t="shared" si="1"/>
        <v>46054</v>
      </c>
      <c r="N6" s="44">
        <f t="shared" si="2"/>
        <v>1</v>
      </c>
      <c r="O6" s="44" t="e">
        <f>IF(AND(I6&lt;=#REF!,OR(E6=#REF!,E6=#REF!)),$W$34,IF(AND(I6&gt;#REF!,OR(E6=#REF!,E6=#REF!)),$W$35,IF(AND(MONTH(B6)&lt;=#REF!,OR(E6=#REF!,E6=$U$37)),$W$36,$W$38)))</f>
        <v>#REF!</v>
      </c>
      <c r="P6" s="160" t="e">
        <f t="shared" ca="1" si="3"/>
        <v>#REF!</v>
      </c>
      <c r="Q6" s="39" t="e">
        <f t="shared" ca="1" si="4"/>
        <v>#REF!</v>
      </c>
    </row>
    <row r="7" spans="1:23" x14ac:dyDescent="0.25">
      <c r="A7" s="35" t="s">
        <v>134</v>
      </c>
      <c r="B7" s="36">
        <v>43865</v>
      </c>
      <c r="C7" s="35" t="s">
        <v>13</v>
      </c>
      <c r="D7" s="35" t="s">
        <v>135</v>
      </c>
      <c r="E7" s="35" t="s">
        <v>69</v>
      </c>
      <c r="F7" s="35" t="s">
        <v>45</v>
      </c>
      <c r="G7" s="162" t="s">
        <v>124</v>
      </c>
      <c r="H7" s="163">
        <v>7.0000000000000007E-2</v>
      </c>
      <c r="I7" s="37">
        <v>280756</v>
      </c>
      <c r="J7" s="37">
        <f ca="1">(YEAR(TODAY())-YEAR(B7))*VLOOKUP(F7,'[4]נתונים נוספים'!$A$3:$C$9,3,FALSE)+VLOOKUP(F7,'[4]נתונים נוספים'!$A$3:$C$9,2,FALSE)</f>
        <v>17400</v>
      </c>
      <c r="K7" s="44" t="str">
        <f t="shared" si="0"/>
        <v>רבעון 1</v>
      </c>
      <c r="L7" s="44" t="str">
        <f>VLOOKUP(K7,'[4]נתונים נוספים'!$A$14:$M$17,VLOOKUP(E7,'[4]נתונים נוספים'!$Q$8:$R$19,2,FALSE),FALSE)</f>
        <v>מוצר חינם</v>
      </c>
      <c r="M7" s="40">
        <f t="shared" si="1"/>
        <v>46062</v>
      </c>
      <c r="N7" s="44">
        <f t="shared" si="2"/>
        <v>2</v>
      </c>
      <c r="O7" s="44" t="e">
        <f>IF(AND(I7&lt;=#REF!,OR(E7=#REF!,E7=#REF!)),$W$34,IF(AND(I7&gt;#REF!,OR(E7=#REF!,E7=#REF!)),$W$35,IF(AND(MONTH(B7)&lt;=#REF!,OR(E7=#REF!,E7=$U$37)),$W$36,$W$38)))</f>
        <v>#REF!</v>
      </c>
      <c r="P7" s="160" t="e">
        <f t="shared" ca="1" si="3"/>
        <v>#REF!</v>
      </c>
      <c r="Q7" s="39" t="e">
        <f t="shared" ca="1" si="4"/>
        <v>#REF!</v>
      </c>
    </row>
    <row r="8" spans="1:23" x14ac:dyDescent="0.25">
      <c r="A8" s="35" t="s">
        <v>136</v>
      </c>
      <c r="B8" s="36">
        <v>43509</v>
      </c>
      <c r="C8" s="35" t="s">
        <v>15</v>
      </c>
      <c r="D8" s="35" t="s">
        <v>137</v>
      </c>
      <c r="E8" s="35" t="s">
        <v>67</v>
      </c>
      <c r="F8" s="35" t="s">
        <v>46</v>
      </c>
      <c r="G8" s="162" t="s">
        <v>124</v>
      </c>
      <c r="H8" s="163">
        <v>0.1</v>
      </c>
      <c r="I8" s="37">
        <v>456890</v>
      </c>
      <c r="J8" s="37">
        <f ca="1">(YEAR(TODAY())-YEAR(B8))*VLOOKUP(F8,'[4]נתונים נוספים'!$A$3:$C$9,3,FALSE)+VLOOKUP(F8,'[4]נתונים נוספים'!$A$3:$C$9,2,FALSE)</f>
        <v>13050</v>
      </c>
      <c r="K8" s="44" t="str">
        <f t="shared" si="0"/>
        <v>רבעון 1</v>
      </c>
      <c r="L8" s="44" t="str">
        <f>VLOOKUP(K8,'[4]נתונים נוספים'!$A$14:$M$17,VLOOKUP(E8,'[4]נתונים נוספים'!$Q$8:$R$19,2,FALSE),FALSE)</f>
        <v>הנחה על הרכישה הבאה</v>
      </c>
      <c r="M8" s="40">
        <f t="shared" si="1"/>
        <v>45347</v>
      </c>
      <c r="N8" s="44">
        <f t="shared" si="2"/>
        <v>1</v>
      </c>
      <c r="O8" s="44" t="e">
        <f>IF(AND(I8&lt;=#REF!,OR(E8=#REF!,E8=#REF!)),$W$34,IF(AND(I8&gt;#REF!,OR(E8=#REF!,E8=#REF!)),$W$35,IF(AND(MONTH(B8)&lt;=#REF!,OR(E8=#REF!,E8=$U$37)),$W$36,$W$38)))</f>
        <v>#REF!</v>
      </c>
      <c r="P8" s="160" t="e">
        <f t="shared" ca="1" si="3"/>
        <v>#REF!</v>
      </c>
      <c r="Q8" s="39" t="e">
        <f t="shared" ca="1" si="4"/>
        <v>#REF!</v>
      </c>
    </row>
    <row r="9" spans="1:23" x14ac:dyDescent="0.25">
      <c r="A9" s="35" t="s">
        <v>138</v>
      </c>
      <c r="B9" s="36">
        <v>43552</v>
      </c>
      <c r="C9" s="35" t="s">
        <v>16</v>
      </c>
      <c r="D9" s="35" t="s">
        <v>139</v>
      </c>
      <c r="E9" s="35" t="s">
        <v>70</v>
      </c>
      <c r="F9" s="35" t="s">
        <v>40</v>
      </c>
      <c r="G9" s="162" t="s">
        <v>140</v>
      </c>
      <c r="H9" s="163">
        <v>0.15</v>
      </c>
      <c r="I9" s="37">
        <v>98653</v>
      </c>
      <c r="J9" s="37">
        <f ca="1">(YEAR(TODAY())-YEAR(B9))*VLOOKUP(F9,'[4]נתונים נוספים'!$A$3:$C$9,3,FALSE)+VLOOKUP(F9,'[4]נתונים נוספים'!$A$3:$C$9,2,FALSE)</f>
        <v>25500</v>
      </c>
      <c r="K9" s="44" t="str">
        <f t="shared" si="0"/>
        <v>רבעון 1</v>
      </c>
      <c r="L9" s="44" t="str">
        <f>VLOOKUP(K9,'[4]נתונים נוספים'!$A$14:$M$17,VLOOKUP(E9,'[4]נתונים נוספים'!$Q$8:$R$19,2,FALSE),FALSE)</f>
        <v>זיכוי ברכישה הבאה</v>
      </c>
      <c r="M9" s="40">
        <f t="shared" si="1"/>
        <v>45347</v>
      </c>
      <c r="N9" s="44">
        <f t="shared" si="2"/>
        <v>1</v>
      </c>
      <c r="O9" s="44" t="e">
        <f>IF(AND(I9&lt;=#REF!,OR(E9=#REF!,E9=#REF!)),$W$34,IF(AND(I9&gt;#REF!,OR(E9=#REF!,E9=#REF!)),$W$35,IF(AND(MONTH(B9)&lt;=#REF!,OR(E9=#REF!,E9=$U$37)),$W$36,$W$38)))</f>
        <v>#REF!</v>
      </c>
      <c r="P9" s="160" t="e">
        <f t="shared" ca="1" si="3"/>
        <v>#REF!</v>
      </c>
      <c r="Q9" s="39" t="e">
        <f t="shared" ca="1" si="4"/>
        <v>#REF!</v>
      </c>
    </row>
    <row r="10" spans="1:23" x14ac:dyDescent="0.25">
      <c r="A10" s="35" t="s">
        <v>141</v>
      </c>
      <c r="B10" s="36">
        <v>43558</v>
      </c>
      <c r="C10" s="35" t="s">
        <v>17</v>
      </c>
      <c r="D10" s="35" t="s">
        <v>142</v>
      </c>
      <c r="E10" s="35" t="s">
        <v>71</v>
      </c>
      <c r="F10" s="35" t="s">
        <v>41</v>
      </c>
      <c r="G10" s="162" t="s">
        <v>127</v>
      </c>
      <c r="H10" s="163">
        <v>0.01</v>
      </c>
      <c r="I10" s="37">
        <v>75000</v>
      </c>
      <c r="J10" s="37">
        <f ca="1">(YEAR(TODAY())-YEAR(B10))*VLOOKUP(F10,'[4]נתונים נוספים'!$A$3:$C$9,3,FALSE)+VLOOKUP(F10,'[4]נתונים נוספים'!$A$3:$C$9,2,FALSE)</f>
        <v>27100</v>
      </c>
      <c r="K10" s="44" t="str">
        <f t="shared" si="0"/>
        <v>רבעון 2</v>
      </c>
      <c r="L10" s="44" t="str">
        <f>VLOOKUP(K10,'[4]נתונים נוספים'!$A$14:$M$17,VLOOKUP(E10,'[4]נתונים נוספים'!$Q$8:$R$19,2,FALSE),FALSE)</f>
        <v>מוצר חינם</v>
      </c>
      <c r="M10" s="40">
        <f t="shared" si="1"/>
        <v>45385</v>
      </c>
      <c r="N10" s="44">
        <f t="shared" si="2"/>
        <v>4</v>
      </c>
      <c r="O10" s="44" t="e">
        <f>IF(AND(I10&lt;=#REF!,OR(E10=#REF!,E10=#REF!)),$W$34,IF(AND(I10&gt;#REF!,OR(E10=#REF!,E10=#REF!)),$W$35,IF(AND(MONTH(B10)&lt;=#REF!,OR(E10=#REF!,E10=$U$37)),$W$36,$W$38)))</f>
        <v>#REF!</v>
      </c>
      <c r="P10" s="160" t="e">
        <f t="shared" ca="1" si="3"/>
        <v>#REF!</v>
      </c>
      <c r="Q10" s="39" t="e">
        <f t="shared" ca="1" si="4"/>
        <v>#REF!</v>
      </c>
    </row>
    <row r="11" spans="1:23" x14ac:dyDescent="0.25">
      <c r="A11" s="35" t="s">
        <v>143</v>
      </c>
      <c r="B11" s="36">
        <v>43207</v>
      </c>
      <c r="C11" s="35" t="s">
        <v>18</v>
      </c>
      <c r="D11" s="35" t="s">
        <v>144</v>
      </c>
      <c r="E11" s="35" t="s">
        <v>72</v>
      </c>
      <c r="F11" s="35" t="s">
        <v>42</v>
      </c>
      <c r="G11" s="162" t="s">
        <v>140</v>
      </c>
      <c r="H11" s="163">
        <v>0.12</v>
      </c>
      <c r="I11" s="37">
        <v>120332</v>
      </c>
      <c r="J11" s="37">
        <f ca="1">(YEAR(TODAY())-YEAR(B11))*VLOOKUP(F11,'[4]נתונים נוספים'!$A$3:$C$9,3,FALSE)+VLOOKUP(F11,'[4]נתונים נוספים'!$A$3:$C$9,2,FALSE)</f>
        <v>19000</v>
      </c>
      <c r="K11" s="44" t="str">
        <f t="shared" si="0"/>
        <v>רבעון 2</v>
      </c>
      <c r="L11" s="44" t="str">
        <f>VLOOKUP(K11,'[4]נתונים נוספים'!$A$14:$M$17,VLOOKUP(E11,'[4]נתונים נוספים'!$Q$8:$R$19,2,FALSE),FALSE)</f>
        <v>זיכוי ברכישה הבאה</v>
      </c>
      <c r="M11" s="40">
        <f t="shared" si="1"/>
        <v>45033</v>
      </c>
      <c r="N11" s="44">
        <f t="shared" si="2"/>
        <v>2</v>
      </c>
      <c r="O11" s="44" t="e">
        <f>IF(AND(I11&lt;=#REF!,OR(E11=#REF!,E11=#REF!)),$W$34,IF(AND(I11&gt;#REF!,OR(E11=#REF!,E11=#REF!)),$W$35,IF(AND(MONTH(B11)&lt;=#REF!,OR(E11=#REF!,E11=$U$37)),$W$36,$W$38)))</f>
        <v>#REF!</v>
      </c>
      <c r="P11" s="160" t="e">
        <f t="shared" ca="1" si="3"/>
        <v>#REF!</v>
      </c>
      <c r="Q11" s="39" t="e">
        <f t="shared" ca="1" si="4"/>
        <v>#REF!</v>
      </c>
    </row>
    <row r="12" spans="1:23" x14ac:dyDescent="0.25">
      <c r="A12" s="35" t="s">
        <v>145</v>
      </c>
      <c r="B12" s="36">
        <v>43213</v>
      </c>
      <c r="C12" s="35" t="s">
        <v>20</v>
      </c>
      <c r="D12" s="35" t="s">
        <v>146</v>
      </c>
      <c r="E12" s="35" t="s">
        <v>68</v>
      </c>
      <c r="F12" s="35" t="s">
        <v>43</v>
      </c>
      <c r="G12" s="162" t="s">
        <v>124</v>
      </c>
      <c r="H12" s="163">
        <v>0.08</v>
      </c>
      <c r="I12" s="37">
        <v>140000</v>
      </c>
      <c r="J12" s="37">
        <f ca="1">(YEAR(TODAY())-YEAR(B12))*VLOOKUP(F12,'[4]נתונים נוספים'!$A$3:$C$9,3,FALSE)+VLOOKUP(F12,'[4]נתונים נוספים'!$A$3:$C$9,2,FALSE)</f>
        <v>14500</v>
      </c>
      <c r="K12" s="44" t="str">
        <f t="shared" si="0"/>
        <v>רבעון 2</v>
      </c>
      <c r="L12" s="44" t="str">
        <f>VLOOKUP(K12,'[4]נתונים נוספים'!$A$14:$M$17,VLOOKUP(E12,'[4]נתונים נוספים'!$Q$8:$R$19,2,FALSE),FALSE)</f>
        <v>אין הטבה</v>
      </c>
      <c r="M12" s="40">
        <f t="shared" si="1"/>
        <v>45039</v>
      </c>
      <c r="N12" s="44">
        <f t="shared" si="2"/>
        <v>1</v>
      </c>
      <c r="O12" s="44" t="e">
        <f>IF(AND(I12&lt;=#REF!,OR(E12=#REF!,E12=#REF!)),$W$34,IF(AND(I12&gt;#REF!,OR(E12=#REF!,E12=#REF!)),$W$35,IF(AND(MONTH(B12)&lt;=#REF!,OR(E12=#REF!,E12=$U$37)),$W$36,$W$38)))</f>
        <v>#REF!</v>
      </c>
      <c r="P12" s="160" t="e">
        <f t="shared" ca="1" si="3"/>
        <v>#REF!</v>
      </c>
      <c r="Q12" s="39" t="e">
        <f t="shared" ca="1" si="4"/>
        <v>#REF!</v>
      </c>
    </row>
    <row r="13" spans="1:23" ht="16.2" thickBot="1" x14ac:dyDescent="0.3">
      <c r="A13" s="35" t="s">
        <v>147</v>
      </c>
      <c r="B13" s="36">
        <v>43216</v>
      </c>
      <c r="C13" s="35" t="s">
        <v>21</v>
      </c>
      <c r="D13" s="35" t="s">
        <v>148</v>
      </c>
      <c r="E13" s="35" t="s">
        <v>68</v>
      </c>
      <c r="F13" s="35" t="s">
        <v>44</v>
      </c>
      <c r="G13" s="162" t="s">
        <v>124</v>
      </c>
      <c r="H13" s="163">
        <v>0.06</v>
      </c>
      <c r="I13" s="37">
        <v>875875</v>
      </c>
      <c r="J13" s="37">
        <f ca="1">(YEAR(TODAY())-YEAR(B13))*VLOOKUP(F13,'[4]נתונים נוספים'!$A$3:$C$9,3,FALSE)+VLOOKUP(F13,'[4]נתונים נוספים'!$A$3:$C$9,2,FALSE)</f>
        <v>14400</v>
      </c>
      <c r="K13" s="44" t="str">
        <f t="shared" si="0"/>
        <v>רבעון 2</v>
      </c>
      <c r="L13" s="44" t="str">
        <f>VLOOKUP(K13,'[4]נתונים נוספים'!$A$14:$M$17,VLOOKUP(E13,'[4]נתונים נוספים'!$Q$8:$R$19,2,FALSE),FALSE)</f>
        <v>אין הטבה</v>
      </c>
      <c r="M13" s="40">
        <f t="shared" si="1"/>
        <v>45042</v>
      </c>
      <c r="N13" s="44">
        <f t="shared" si="2"/>
        <v>4</v>
      </c>
      <c r="O13" s="44" t="e">
        <f>IF(AND(I13&lt;=#REF!,OR(E13=#REF!,E13=#REF!)),$W$34,IF(AND(I13&gt;#REF!,OR(E13=#REF!,E13=#REF!)),$W$35,IF(AND(MONTH(B13)&lt;=#REF!,OR(E13=#REF!,E13=$U$37)),$W$36,$W$38)))</f>
        <v>#REF!</v>
      </c>
      <c r="P13" s="160" t="e">
        <f t="shared" ca="1" si="3"/>
        <v>#REF!</v>
      </c>
      <c r="Q13" s="39" t="e">
        <f t="shared" ca="1" si="4"/>
        <v>#REF!</v>
      </c>
    </row>
    <row r="14" spans="1:23" ht="23.4" x14ac:dyDescent="0.25">
      <c r="A14" s="35" t="s">
        <v>149</v>
      </c>
      <c r="B14" s="36">
        <v>43221</v>
      </c>
      <c r="C14" s="35" t="s">
        <v>22</v>
      </c>
      <c r="D14" s="35" t="s">
        <v>150</v>
      </c>
      <c r="E14" s="35" t="s">
        <v>67</v>
      </c>
      <c r="F14" s="35" t="s">
        <v>45</v>
      </c>
      <c r="G14" s="162" t="s">
        <v>127</v>
      </c>
      <c r="H14" s="163">
        <v>0.01</v>
      </c>
      <c r="I14" s="37">
        <v>200000</v>
      </c>
      <c r="J14" s="37">
        <f ca="1">(YEAR(TODAY())-YEAR(B14))*VLOOKUP(F14,'[4]נתונים נוספים'!$A$3:$C$9,3,FALSE)+VLOOKUP(F14,'[4]נתונים נוספים'!$A$3:$C$9,2,FALSE)</f>
        <v>18200</v>
      </c>
      <c r="K14" s="44" t="str">
        <f t="shared" si="0"/>
        <v>רבעון 2</v>
      </c>
      <c r="L14" s="44" t="str">
        <f>VLOOKUP(K14,'[4]נתונים נוספים'!$A$14:$M$17,VLOOKUP(E14,'[4]נתונים נוספים'!$Q$8:$R$19,2,FALSE),FALSE)</f>
        <v>מוצר חינם</v>
      </c>
      <c r="M14" s="40">
        <f t="shared" si="1"/>
        <v>45047</v>
      </c>
      <c r="N14" s="44">
        <f t="shared" si="2"/>
        <v>2</v>
      </c>
      <c r="O14" s="44" t="e">
        <f>IF(AND(I14&lt;=#REF!,OR(E14=#REF!,E14=#REF!)),$W$34,IF(AND(I14&gt;#REF!,OR(E14=#REF!,E14=#REF!)),$W$35,IF(AND(MONTH(B14)&lt;=#REF!,OR(E14=#REF!,E14=$U$37)),$W$36,$W$38)))</f>
        <v>#REF!</v>
      </c>
      <c r="P14" s="160" t="e">
        <f t="shared" ca="1" si="3"/>
        <v>#REF!</v>
      </c>
      <c r="Q14" s="39" t="e">
        <f t="shared" ca="1" si="4"/>
        <v>#REF!</v>
      </c>
      <c r="S14" s="172"/>
      <c r="T14" s="185"/>
      <c r="U14" s="184" t="s">
        <v>195</v>
      </c>
      <c r="V14" s="170"/>
    </row>
    <row r="15" spans="1:23" ht="18" x14ac:dyDescent="0.25">
      <c r="A15" s="35" t="s">
        <v>151</v>
      </c>
      <c r="B15" s="36">
        <v>43975</v>
      </c>
      <c r="C15" s="35" t="s">
        <v>23</v>
      </c>
      <c r="D15" s="35" t="s">
        <v>152</v>
      </c>
      <c r="E15" s="35" t="s">
        <v>64</v>
      </c>
      <c r="F15" s="35" t="s">
        <v>46</v>
      </c>
      <c r="G15" s="162" t="s">
        <v>124</v>
      </c>
      <c r="H15" s="163">
        <v>0.05</v>
      </c>
      <c r="I15" s="37">
        <v>360250</v>
      </c>
      <c r="J15" s="37">
        <f ca="1">(YEAR(TODAY())-YEAR(B15))*VLOOKUP(F15,'[4]נתונים נוספים'!$A$3:$C$9,3,FALSE)+VLOOKUP(F15,'[4]נתונים נוספים'!$A$3:$C$9,2,FALSE)</f>
        <v>12900</v>
      </c>
      <c r="K15" s="44" t="str">
        <f t="shared" si="0"/>
        <v>רבעון 2</v>
      </c>
      <c r="L15" s="44" t="str">
        <f>VLOOKUP(K15,'[4]נתונים נוספים'!$A$14:$M$17,VLOOKUP(E15,'[4]נתונים נוספים'!$Q$8:$R$19,2,FALSE),FALSE)</f>
        <v>הנחה על הרכישה הבאה</v>
      </c>
      <c r="M15" s="40">
        <f t="shared" si="1"/>
        <v>45801</v>
      </c>
      <c r="N15" s="44" t="str">
        <f t="shared" si="2"/>
        <v>ייקבע מועד אחר</v>
      </c>
      <c r="O15" s="44" t="e">
        <f>IF(AND(I15&lt;=#REF!,OR(E15=#REF!,E15=#REF!)),$W$34,IF(AND(I15&gt;#REF!,OR(E15=#REF!,E15=#REF!)),$W$35,IF(AND(MONTH(B15)&lt;=#REF!,OR(E15=#REF!,E15=$U$37)),$W$36,$W$38)))</f>
        <v>#REF!</v>
      </c>
      <c r="P15" s="160" t="e">
        <f t="shared" ca="1" si="3"/>
        <v>#REF!</v>
      </c>
      <c r="Q15" s="39" t="e">
        <f t="shared" ca="1" si="4"/>
        <v>#REF!</v>
      </c>
      <c r="T15" s="176">
        <v>1</v>
      </c>
      <c r="U15" s="177" t="s">
        <v>205</v>
      </c>
      <c r="V15" s="178"/>
    </row>
    <row r="16" spans="1:23" ht="18" x14ac:dyDescent="0.25">
      <c r="A16" s="35" t="s">
        <v>153</v>
      </c>
      <c r="B16" s="36">
        <v>43990</v>
      </c>
      <c r="C16" s="35" t="s">
        <v>24</v>
      </c>
      <c r="D16" s="35" t="s">
        <v>154</v>
      </c>
      <c r="E16" s="35" t="s">
        <v>72</v>
      </c>
      <c r="F16" s="35" t="s">
        <v>40</v>
      </c>
      <c r="G16" s="162" t="s">
        <v>124</v>
      </c>
      <c r="H16" s="163">
        <v>0.05</v>
      </c>
      <c r="I16" s="37">
        <v>422365</v>
      </c>
      <c r="J16" s="37">
        <f ca="1">(YEAR(TODAY())-YEAR(B16))*VLOOKUP(F16,'[4]נתונים נוספים'!$A$3:$C$9,3,FALSE)+VLOOKUP(F16,'[4]נתונים נוספים'!$A$3:$C$9,2,FALSE)</f>
        <v>25000</v>
      </c>
      <c r="K16" s="44" t="str">
        <f t="shared" si="0"/>
        <v>רבעון 2</v>
      </c>
      <c r="L16" s="44" t="str">
        <f>VLOOKUP(K16,'[4]נתונים נוספים'!$A$14:$M$17,VLOOKUP(E16,'[4]נתונים נוספים'!$Q$8:$R$19,2,FALSE),FALSE)</f>
        <v>זיכוי ברכישה הבאה</v>
      </c>
      <c r="M16" s="40">
        <f t="shared" si="1"/>
        <v>45816</v>
      </c>
      <c r="N16" s="44">
        <f t="shared" si="2"/>
        <v>1</v>
      </c>
      <c r="O16" s="44" t="e">
        <f>IF(AND(I16&lt;=#REF!,OR(E16=#REF!,E16=#REF!)),$W$34,IF(AND(I16&gt;#REF!,OR(E16=#REF!,E16=#REF!)),$W$35,IF(AND(MONTH(B16)&lt;=#REF!,OR(E16=#REF!,E16=$U$37)),$W$36,$W$38)))</f>
        <v>#REF!</v>
      </c>
      <c r="P16" s="160" t="e">
        <f t="shared" ca="1" si="3"/>
        <v>#REF!</v>
      </c>
      <c r="Q16" s="39" t="e">
        <f t="shared" ca="1" si="4"/>
        <v>#REF!</v>
      </c>
      <c r="T16" s="176"/>
      <c r="U16" s="177" t="s">
        <v>200</v>
      </c>
      <c r="V16" s="178"/>
    </row>
    <row r="17" spans="1:23" ht="18" x14ac:dyDescent="0.25">
      <c r="A17" s="35" t="s">
        <v>155</v>
      </c>
      <c r="B17" s="36">
        <v>43997</v>
      </c>
      <c r="C17" s="35" t="s">
        <v>25</v>
      </c>
      <c r="D17" s="35" t="s">
        <v>156</v>
      </c>
      <c r="E17" s="35" t="s">
        <v>70</v>
      </c>
      <c r="F17" s="35" t="s">
        <v>41</v>
      </c>
      <c r="G17" s="162" t="s">
        <v>124</v>
      </c>
      <c r="H17" s="163">
        <v>7.0000000000000007E-2</v>
      </c>
      <c r="I17" s="37">
        <v>123456</v>
      </c>
      <c r="J17" s="37">
        <f ca="1">(YEAR(TODAY())-YEAR(B17))*VLOOKUP(F17,'[4]נתונים נוספים'!$A$3:$C$9,3,FALSE)+VLOOKUP(F17,'[4]נתונים נוספים'!$A$3:$C$9,2,FALSE)</f>
        <v>26800</v>
      </c>
      <c r="K17" s="44" t="str">
        <f t="shared" si="0"/>
        <v>רבעון 2</v>
      </c>
      <c r="L17" s="44" t="str">
        <f>VLOOKUP(K17,'[4]נתונים נוספים'!$A$14:$M$17,VLOOKUP(E17,'[4]נתונים נוספים'!$Q$8:$R$19,2,FALSE),FALSE)</f>
        <v>הנחה על הרכישה הבאה</v>
      </c>
      <c r="M17" s="40">
        <f t="shared" si="1"/>
        <v>45823</v>
      </c>
      <c r="N17" s="44">
        <f t="shared" si="2"/>
        <v>1</v>
      </c>
      <c r="O17" s="44" t="e">
        <f>IF(AND(I17&lt;=#REF!,OR(E17=#REF!,E17=#REF!)),$W$34,IF(AND(I17&gt;#REF!,OR(E17=#REF!,E17=#REF!)),$W$35,IF(AND(MONTH(B17)&lt;=#REF!,OR(E17=#REF!,E17=$U$37)),$W$36,$W$38)))</f>
        <v>#REF!</v>
      </c>
      <c r="P17" s="160" t="e">
        <f t="shared" ca="1" si="3"/>
        <v>#REF!</v>
      </c>
      <c r="Q17" s="39" t="e">
        <f t="shared" ca="1" si="4"/>
        <v>#REF!</v>
      </c>
      <c r="S17" s="39"/>
      <c r="T17" s="176"/>
      <c r="U17" s="177" t="s">
        <v>196</v>
      </c>
      <c r="V17" s="178"/>
    </row>
    <row r="18" spans="1:23" ht="18" x14ac:dyDescent="0.25">
      <c r="A18" s="35" t="s">
        <v>157</v>
      </c>
      <c r="B18" s="36">
        <v>43705</v>
      </c>
      <c r="C18" s="35" t="s">
        <v>20</v>
      </c>
      <c r="D18" s="35" t="s">
        <v>158</v>
      </c>
      <c r="E18" s="35" t="s">
        <v>70</v>
      </c>
      <c r="F18" s="35" t="s">
        <v>42</v>
      </c>
      <c r="G18" s="162" t="s">
        <v>124</v>
      </c>
      <c r="H18" s="163">
        <v>0.08</v>
      </c>
      <c r="I18" s="37">
        <v>187654</v>
      </c>
      <c r="J18" s="37">
        <f ca="1">(YEAR(TODAY())-YEAR(B18))*VLOOKUP(F18,'[4]נתונים נוספים'!$A$3:$C$9,3,FALSE)+VLOOKUP(F18,'[4]נתונים נוספים'!$A$3:$C$9,2,FALSE)</f>
        <v>18250</v>
      </c>
      <c r="K18" s="44" t="str">
        <f t="shared" si="0"/>
        <v>רבעון 3</v>
      </c>
      <c r="L18" s="44" t="str">
        <f>VLOOKUP(K18,'[4]נתונים נוספים'!$A$14:$M$17,VLOOKUP(E18,'[4]נתונים נוספים'!$Q$8:$R$19,2,FALSE),FALSE)</f>
        <v>מוצר חינם</v>
      </c>
      <c r="M18" s="40">
        <f t="shared" si="1"/>
        <v>45347</v>
      </c>
      <c r="N18" s="44">
        <f t="shared" si="2"/>
        <v>1</v>
      </c>
      <c r="O18" s="44" t="e">
        <f>IF(AND(I18&lt;=#REF!,OR(E18=#REF!,E18=#REF!)),$W$34,IF(AND(I18&gt;#REF!,OR(E18=#REF!,E18=#REF!)),$W$35,IF(AND(MONTH(B18)&lt;=#REF!,OR(E18=#REF!,E18=$U$37)),$W$36,$W$38)))</f>
        <v>#REF!</v>
      </c>
      <c r="P18" s="160" t="e">
        <f t="shared" ca="1" si="3"/>
        <v>#REF!</v>
      </c>
      <c r="Q18" s="39" t="e">
        <f t="shared" ca="1" si="4"/>
        <v>#REF!</v>
      </c>
      <c r="T18" s="176"/>
      <c r="U18" s="177"/>
      <c r="V18" s="178"/>
    </row>
    <row r="19" spans="1:23" ht="18" x14ac:dyDescent="0.25">
      <c r="A19" s="35" t="s">
        <v>159</v>
      </c>
      <c r="B19" s="36">
        <v>44438</v>
      </c>
      <c r="C19" s="35" t="s">
        <v>26</v>
      </c>
      <c r="D19" s="35" t="s">
        <v>160</v>
      </c>
      <c r="E19" s="35" t="s">
        <v>66</v>
      </c>
      <c r="F19" s="35" t="s">
        <v>43</v>
      </c>
      <c r="G19" s="162" t="s">
        <v>124</v>
      </c>
      <c r="H19" s="163">
        <v>0.05</v>
      </c>
      <c r="I19" s="37">
        <v>440000</v>
      </c>
      <c r="J19" s="37">
        <f ca="1">(YEAR(TODAY())-YEAR(B19))*VLOOKUP(F19,'[4]נתונים נוספים'!$A$3:$C$9,3,FALSE)+VLOOKUP(F19,'[4]נתונים נוספים'!$A$3:$C$9,2,FALSE)</f>
        <v>13750</v>
      </c>
      <c r="K19" s="44" t="str">
        <f t="shared" si="0"/>
        <v>רבעון 3</v>
      </c>
      <c r="L19" s="44" t="str">
        <f>VLOOKUP(K19,'[4]נתונים נוספים'!$A$14:$M$17,VLOOKUP(E19,'[4]נתונים נוספים'!$Q$8:$R$19,2,FALSE),FALSE)</f>
        <v>מוצר חינם</v>
      </c>
      <c r="M19" s="40">
        <f t="shared" si="1"/>
        <v>46634</v>
      </c>
      <c r="N19" s="44" t="str">
        <f t="shared" si="2"/>
        <v>ייקבע מועד אחר</v>
      </c>
      <c r="O19" s="44" t="e">
        <f>IF(AND(I19&lt;=#REF!,OR(E19=#REF!,E19=#REF!)),$W$34,IF(AND(I19&gt;#REF!,OR(E19=#REF!,E19=#REF!)),$W$35,IF(AND(MONTH(B19)&lt;=#REF!,OR(E19=#REF!,E19=$U$37)),$W$36,$W$38)))</f>
        <v>#REF!</v>
      </c>
      <c r="P19" s="160" t="e">
        <f t="shared" ca="1" si="3"/>
        <v>#REF!</v>
      </c>
      <c r="Q19" s="39" t="e">
        <f t="shared" ca="1" si="4"/>
        <v>#REF!</v>
      </c>
      <c r="T19" s="176">
        <v>2</v>
      </c>
      <c r="U19" s="177" t="s">
        <v>197</v>
      </c>
      <c r="V19" s="178"/>
    </row>
    <row r="20" spans="1:23" ht="18" x14ac:dyDescent="0.25">
      <c r="A20" s="35" t="s">
        <v>161</v>
      </c>
      <c r="B20" s="36">
        <v>43710</v>
      </c>
      <c r="C20" s="35" t="s">
        <v>27</v>
      </c>
      <c r="D20" s="35" t="s">
        <v>162</v>
      </c>
      <c r="E20" s="35" t="s">
        <v>73</v>
      </c>
      <c r="F20" s="35" t="s">
        <v>45</v>
      </c>
      <c r="G20" s="162" t="s">
        <v>140</v>
      </c>
      <c r="H20" s="163">
        <v>0.12</v>
      </c>
      <c r="I20" s="37">
        <v>365125</v>
      </c>
      <c r="J20" s="37">
        <f ca="1">(YEAR(TODAY())-YEAR(B20))*VLOOKUP(F20,'[4]נתונים נוספים'!$A$3:$C$9,3,FALSE)+VLOOKUP(F20,'[4]נתונים נוספים'!$A$3:$C$9,2,FALSE)</f>
        <v>17800</v>
      </c>
      <c r="K20" s="44" t="str">
        <f t="shared" si="0"/>
        <v>רבעון 3</v>
      </c>
      <c r="L20" s="44" t="str">
        <f>VLOOKUP(K20,'[4]נתונים נוספים'!$A$14:$M$17,VLOOKUP(E20,'[4]נתונים נוספים'!$Q$8:$R$19,2,FALSE),FALSE)</f>
        <v>מוצר חינם</v>
      </c>
      <c r="M20" s="40">
        <f t="shared" si="1"/>
        <v>45347</v>
      </c>
      <c r="N20" s="44">
        <f t="shared" si="2"/>
        <v>1</v>
      </c>
      <c r="O20" s="44" t="e">
        <f>IF(AND(I20&lt;=#REF!,OR(E20=#REF!,E20=#REF!)),$W$34,IF(AND(I20&gt;#REF!,OR(E20=#REF!,E20=#REF!)),$W$35,IF(AND(MONTH(B20)&lt;=#REF!,OR(E20=#REF!,E20=$U$37)),$W$36,$W$38)))</f>
        <v>#REF!</v>
      </c>
      <c r="P20" s="160" t="e">
        <f t="shared" ca="1" si="3"/>
        <v>#REF!</v>
      </c>
      <c r="Q20" s="39" t="e">
        <f t="shared" ca="1" si="4"/>
        <v>#REF!</v>
      </c>
      <c r="T20" s="176"/>
      <c r="U20" s="177"/>
      <c r="V20" s="178"/>
    </row>
    <row r="21" spans="1:23" ht="18" x14ac:dyDescent="0.25">
      <c r="A21" s="35" t="s">
        <v>163</v>
      </c>
      <c r="B21" s="36">
        <v>43722</v>
      </c>
      <c r="C21" s="35" t="s">
        <v>28</v>
      </c>
      <c r="D21" s="35" t="s">
        <v>164</v>
      </c>
      <c r="E21" s="35" t="s">
        <v>70</v>
      </c>
      <c r="F21" s="35" t="s">
        <v>46</v>
      </c>
      <c r="G21" s="162" t="s">
        <v>124</v>
      </c>
      <c r="H21" s="163">
        <v>7.0000000000000007E-2</v>
      </c>
      <c r="I21" s="37">
        <v>321987</v>
      </c>
      <c r="J21" s="37">
        <f ca="1">(YEAR(TODAY())-YEAR(B21))*VLOOKUP(F21,'[4]נתונים נוספים'!$A$3:$C$9,3,FALSE)+VLOOKUP(F21,'[4]נתונים נוספים'!$A$3:$C$9,2,FALSE)</f>
        <v>13050</v>
      </c>
      <c r="K21" s="44" t="str">
        <f t="shared" si="0"/>
        <v>רבעון 3</v>
      </c>
      <c r="L21" s="44" t="str">
        <f>VLOOKUP(K21,'[4]נתונים נוספים'!$A$14:$M$17,VLOOKUP(E21,'[4]נתונים נוספים'!$Q$8:$R$19,2,FALSE),FALSE)</f>
        <v>מוצר חינם</v>
      </c>
      <c r="M21" s="40">
        <f t="shared" si="1"/>
        <v>45347</v>
      </c>
      <c r="N21" s="44">
        <f t="shared" si="2"/>
        <v>1</v>
      </c>
      <c r="O21" s="44" t="e">
        <f>IF(AND(I21&lt;=#REF!,OR(E21=#REF!,E21=#REF!)),$W$34,IF(AND(I21&gt;#REF!,OR(E21=#REF!,E21=#REF!)),$W$35,IF(AND(MONTH(B21)&lt;=#REF!,OR(E21=#REF!,E21=$U$37)),$W$36,$W$38)))</f>
        <v>#REF!</v>
      </c>
      <c r="P21" s="160" t="e">
        <f t="shared" ca="1" si="3"/>
        <v>#REF!</v>
      </c>
      <c r="Q21" s="39" t="e">
        <f t="shared" ca="1" si="4"/>
        <v>#REF!</v>
      </c>
      <c r="T21" s="176">
        <v>3</v>
      </c>
      <c r="U21" s="177" t="s">
        <v>201</v>
      </c>
      <c r="V21" s="178"/>
    </row>
    <row r="22" spans="1:23" ht="18" x14ac:dyDescent="0.25">
      <c r="A22" s="35" t="s">
        <v>165</v>
      </c>
      <c r="B22" s="36">
        <v>43365</v>
      </c>
      <c r="C22" s="35" t="s">
        <v>29</v>
      </c>
      <c r="D22" s="35" t="s">
        <v>166</v>
      </c>
      <c r="E22" s="35" t="s">
        <v>67</v>
      </c>
      <c r="F22" s="35" t="s">
        <v>40</v>
      </c>
      <c r="G22" s="162" t="s">
        <v>124</v>
      </c>
      <c r="H22" s="163">
        <v>0.08</v>
      </c>
      <c r="I22" s="37">
        <v>133455</v>
      </c>
      <c r="J22" s="37">
        <f ca="1">(YEAR(TODAY())-YEAR(B22))*VLOOKUP(F22,'[4]נתונים נוספים'!$A$3:$C$9,3,FALSE)+VLOOKUP(F22,'[4]נתונים נוספים'!$A$3:$C$9,2,FALSE)</f>
        <v>26000</v>
      </c>
      <c r="K22" s="44" t="str">
        <f t="shared" si="0"/>
        <v>רבעון 3</v>
      </c>
      <c r="L22" s="44" t="str">
        <f>VLOOKUP(K22,'[4]נתונים נוספים'!$A$14:$M$17,VLOOKUP(E22,'[4]נתונים נוספים'!$Q$8:$R$19,2,FALSE),FALSE)</f>
        <v>הנחה על הרכישה הבאה</v>
      </c>
      <c r="M22" s="40">
        <f t="shared" si="1"/>
        <v>45347</v>
      </c>
      <c r="N22" s="44">
        <f t="shared" si="2"/>
        <v>1</v>
      </c>
      <c r="O22" s="44" t="e">
        <f>IF(AND(I22&lt;=#REF!,OR(E22=#REF!,E22=#REF!)),$W$34,IF(AND(I22&gt;#REF!,OR(E22=#REF!,E22=#REF!)),$W$35,IF(AND(MONTH(B22)&lt;=#REF!,OR(E22=#REF!,E22=$U$37)),$W$36,$W$38)))</f>
        <v>#REF!</v>
      </c>
      <c r="P22" s="160" t="e">
        <f t="shared" ca="1" si="3"/>
        <v>#REF!</v>
      </c>
      <c r="Q22" s="39" t="e">
        <f t="shared" ca="1" si="4"/>
        <v>#REF!</v>
      </c>
      <c r="T22" s="176"/>
      <c r="U22" s="177" t="s">
        <v>198</v>
      </c>
      <c r="V22" s="178" t="s">
        <v>98</v>
      </c>
    </row>
    <row r="23" spans="1:23" ht="18" x14ac:dyDescent="0.25">
      <c r="A23" s="35" t="s">
        <v>167</v>
      </c>
      <c r="B23" s="36">
        <v>43389</v>
      </c>
      <c r="C23" s="35" t="s">
        <v>30</v>
      </c>
      <c r="D23" s="35" t="s">
        <v>168</v>
      </c>
      <c r="E23" s="35" t="s">
        <v>74</v>
      </c>
      <c r="F23" s="35" t="s">
        <v>41</v>
      </c>
      <c r="G23" s="162" t="s">
        <v>124</v>
      </c>
      <c r="H23" s="163">
        <v>7.0000000000000007E-2</v>
      </c>
      <c r="I23" s="37">
        <v>170000</v>
      </c>
      <c r="J23" s="37">
        <f ca="1">(YEAR(TODAY())-YEAR(B23))*VLOOKUP(F23,'[4]נתונים נוספים'!$A$3:$C$9,3,FALSE)+VLOOKUP(F23,'[4]נתונים נוספים'!$A$3:$C$9,2,FALSE)</f>
        <v>27400</v>
      </c>
      <c r="K23" s="44" t="str">
        <f t="shared" si="0"/>
        <v>רבעון 4</v>
      </c>
      <c r="L23" s="44" t="str">
        <f>VLOOKUP(K23,'[4]נתונים נוספים'!$A$14:$M$17,VLOOKUP(E23,'[4]נתונים נוספים'!$Q$8:$R$19,2,FALSE),FALSE)</f>
        <v>זיכוי ברכישה הבאה</v>
      </c>
      <c r="M23" s="40">
        <f t="shared" si="1"/>
        <v>45347</v>
      </c>
      <c r="N23" s="44">
        <f t="shared" si="2"/>
        <v>1</v>
      </c>
      <c r="O23" s="44" t="e">
        <f>IF(AND(I23&lt;=#REF!,OR(E23=#REF!,E23=#REF!)),$W$34,IF(AND(I23&gt;#REF!,OR(E23=#REF!,E23=#REF!)),$W$35,IF(AND(MONTH(B23)&lt;=#REF!,OR(E23=#REF!,E23=$U$37)),$W$36,$W$38)))</f>
        <v>#REF!</v>
      </c>
      <c r="P23" s="160" t="e">
        <f t="shared" ca="1" si="3"/>
        <v>#REF!</v>
      </c>
      <c r="Q23" s="39" t="e">
        <f t="shared" ca="1" si="4"/>
        <v>#REF!</v>
      </c>
      <c r="T23" s="176"/>
      <c r="U23" s="177"/>
      <c r="V23" s="178"/>
    </row>
    <row r="24" spans="1:23" ht="18" x14ac:dyDescent="0.25">
      <c r="A24" s="35" t="s">
        <v>170</v>
      </c>
      <c r="B24" s="36">
        <v>43405</v>
      </c>
      <c r="C24" s="35" t="s">
        <v>31</v>
      </c>
      <c r="D24" s="35" t="s">
        <v>171</v>
      </c>
      <c r="E24" s="35" t="s">
        <v>69</v>
      </c>
      <c r="F24" s="35" t="s">
        <v>42</v>
      </c>
      <c r="G24" s="162" t="s">
        <v>124</v>
      </c>
      <c r="H24" s="163">
        <v>0.05</v>
      </c>
      <c r="I24" s="37">
        <v>258000</v>
      </c>
      <c r="J24" s="37">
        <f ca="1">(YEAR(TODAY())-YEAR(B24))*VLOOKUP(F24,'[4]נתונים נוספים'!$A$3:$C$9,3,FALSE)+VLOOKUP(F24,'[4]נתונים נוספים'!$A$3:$C$9,2,FALSE)</f>
        <v>19000</v>
      </c>
      <c r="K24" s="44" t="str">
        <f t="shared" si="0"/>
        <v>רבעון 4</v>
      </c>
      <c r="L24" s="44" t="str">
        <f>VLOOKUP(K24,'[4]נתונים נוספים'!$A$14:$M$17,VLOOKUP(E24,'[4]נתונים נוספים'!$Q$8:$R$19,2,FALSE),FALSE)</f>
        <v>מוצר חינם</v>
      </c>
      <c r="M24" s="40">
        <f t="shared" si="1"/>
        <v>45347</v>
      </c>
      <c r="N24" s="44">
        <f t="shared" si="2"/>
        <v>1</v>
      </c>
      <c r="O24" s="44" t="e">
        <f>IF(AND(I24&lt;=#REF!,OR(E24=#REF!,E24=#REF!)),$W$34,IF(AND(I24&gt;#REF!,OR(E24=#REF!,E24=#REF!)),$W$35,IF(AND(MONTH(B24)&lt;=#REF!,OR(E24=#REF!,E24=$U$37)),$W$36,$W$38)))</f>
        <v>#REF!</v>
      </c>
      <c r="P24" s="160" t="e">
        <f t="shared" ca="1" si="3"/>
        <v>#REF!</v>
      </c>
      <c r="Q24" s="39" t="e">
        <f t="shared" ca="1" si="4"/>
        <v>#REF!</v>
      </c>
      <c r="T24" s="176"/>
      <c r="U24" s="177" t="s">
        <v>202</v>
      </c>
      <c r="V24" s="178" t="s">
        <v>99</v>
      </c>
    </row>
    <row r="25" spans="1:23" ht="18" x14ac:dyDescent="0.25">
      <c r="A25" s="35" t="s">
        <v>172</v>
      </c>
      <c r="B25" s="36">
        <v>43416</v>
      </c>
      <c r="C25" s="35" t="s">
        <v>32</v>
      </c>
      <c r="D25" s="35" t="s">
        <v>173</v>
      </c>
      <c r="E25" s="35" t="s">
        <v>75</v>
      </c>
      <c r="F25" s="35" t="s">
        <v>43</v>
      </c>
      <c r="G25" s="162" t="s">
        <v>127</v>
      </c>
      <c r="H25" s="163">
        <v>0.01</v>
      </c>
      <c r="I25" s="37">
        <v>145685</v>
      </c>
      <c r="J25" s="37">
        <f ca="1">(YEAR(TODAY())-YEAR(B25))*VLOOKUP(F25,'[4]נתונים נוספים'!$A$3:$C$9,3,FALSE)+VLOOKUP(F25,'[4]נתונים נוספים'!$A$3:$C$9,2,FALSE)</f>
        <v>14500</v>
      </c>
      <c r="K25" s="44" t="str">
        <f t="shared" si="0"/>
        <v>רבעון 4</v>
      </c>
      <c r="L25" s="44" t="str">
        <f>VLOOKUP(K25,'[4]נתונים נוספים'!$A$14:$M$17,VLOOKUP(E25,'[4]נתונים נוספים'!$Q$8:$R$19,2,FALSE),FALSE)</f>
        <v>מוצר חינם</v>
      </c>
      <c r="M25" s="40">
        <f t="shared" si="1"/>
        <v>45347</v>
      </c>
      <c r="N25" s="44">
        <f t="shared" si="2"/>
        <v>1</v>
      </c>
      <c r="O25" s="44" t="e">
        <f>IF(AND(I25&lt;=#REF!,OR(E25=#REF!,E25=#REF!)),$W$34,IF(AND(I25&gt;#REF!,OR(E25=#REF!,E25=#REF!)),$W$35,IF(AND(MONTH(B25)&lt;=#REF!,OR(E25=#REF!,E25=$U$37)),$W$36,$W$38)))</f>
        <v>#REF!</v>
      </c>
      <c r="P25" s="160" t="e">
        <f t="shared" ca="1" si="3"/>
        <v>#REF!</v>
      </c>
      <c r="Q25" s="39" t="e">
        <f t="shared" ca="1" si="4"/>
        <v>#REF!</v>
      </c>
      <c r="T25" s="176"/>
      <c r="U25" s="177"/>
      <c r="V25" s="178"/>
    </row>
    <row r="26" spans="1:23" ht="18.600000000000001" thickBot="1" x14ac:dyDescent="0.3">
      <c r="A26" s="35" t="s">
        <v>174</v>
      </c>
      <c r="B26" s="36">
        <v>43423</v>
      </c>
      <c r="C26" s="35" t="s">
        <v>33</v>
      </c>
      <c r="D26" s="35" t="s">
        <v>175</v>
      </c>
      <c r="E26" s="35" t="s">
        <v>66</v>
      </c>
      <c r="F26" s="35" t="s">
        <v>44</v>
      </c>
      <c r="G26" s="162" t="s">
        <v>127</v>
      </c>
      <c r="H26" s="163">
        <v>0.01</v>
      </c>
      <c r="I26" s="37">
        <v>36000</v>
      </c>
      <c r="J26" s="37">
        <f ca="1">(YEAR(TODAY())-YEAR(B26))*VLOOKUP(F26,'[4]נתונים נוספים'!$A$3:$C$9,3,FALSE)+VLOOKUP(F26,'[4]נתונים נוספים'!$A$3:$C$9,2,FALSE)</f>
        <v>14400</v>
      </c>
      <c r="K26" s="44" t="str">
        <f t="shared" si="0"/>
        <v>רבעון 4</v>
      </c>
      <c r="L26" s="44" t="str">
        <f>VLOOKUP(K26,'[4]נתונים נוספים'!$A$14:$M$17,VLOOKUP(E26,'[4]נתונים נוספים'!$Q$8:$R$19,2,FALSE),FALSE)</f>
        <v>זיכוי ברכישה הבאה</v>
      </c>
      <c r="M26" s="40">
        <f t="shared" si="1"/>
        <v>45347</v>
      </c>
      <c r="N26" s="44">
        <f t="shared" si="2"/>
        <v>1</v>
      </c>
      <c r="O26" s="44" t="e">
        <f>IF(AND(I26&lt;=#REF!,OR(E26=#REF!,E26=#REF!)),$W$34,IF(AND(I26&gt;#REF!,OR(E26=#REF!,E26=#REF!)),$W$35,IF(AND(MONTH(B26)&lt;=#REF!,OR(E26=#REF!,E26=$U$37)),$W$36,$W$38)))</f>
        <v>#REF!</v>
      </c>
      <c r="P26" s="160" t="e">
        <f t="shared" ca="1" si="3"/>
        <v>#REF!</v>
      </c>
      <c r="Q26" s="39" t="e">
        <f t="shared" ca="1" si="4"/>
        <v>#REF!</v>
      </c>
      <c r="T26" s="179"/>
      <c r="U26" s="180" t="s">
        <v>199</v>
      </c>
      <c r="V26" s="181" t="s">
        <v>101</v>
      </c>
      <c r="W26" s="27"/>
    </row>
    <row r="27" spans="1:23" x14ac:dyDescent="0.25">
      <c r="A27" s="35" t="s">
        <v>176</v>
      </c>
      <c r="B27" s="36">
        <v>43426</v>
      </c>
      <c r="C27" s="35" t="s">
        <v>177</v>
      </c>
      <c r="D27" s="35" t="s">
        <v>178</v>
      </c>
      <c r="E27" s="35" t="s">
        <v>71</v>
      </c>
      <c r="F27" s="35" t="s">
        <v>45</v>
      </c>
      <c r="G27" s="162" t="s">
        <v>140</v>
      </c>
      <c r="H27" s="163">
        <v>0.2</v>
      </c>
      <c r="I27" s="37">
        <v>77000</v>
      </c>
      <c r="J27" s="37">
        <f ca="1">(YEAR(TODAY())-YEAR(B27))*VLOOKUP(F27,'[4]נתונים נוספים'!$A$3:$C$9,3,FALSE)+VLOOKUP(F27,'[4]נתונים נוספים'!$A$3:$C$9,2,FALSE)</f>
        <v>18200</v>
      </c>
      <c r="K27" s="44" t="str">
        <f t="shared" si="0"/>
        <v>רבעון 4</v>
      </c>
      <c r="L27" s="44" t="str">
        <f>VLOOKUP(K27,'[4]נתונים נוספים'!$A$14:$M$17,VLOOKUP(E27,'[4]נתונים נוספים'!$Q$8:$R$19,2,FALSE),FALSE)</f>
        <v>אין הטבה</v>
      </c>
      <c r="M27" s="40">
        <f t="shared" si="1"/>
        <v>45347</v>
      </c>
      <c r="N27" s="44">
        <f t="shared" si="2"/>
        <v>1</v>
      </c>
      <c r="O27" s="44" t="e">
        <f>IF(AND(I27&lt;=#REF!,OR(E27=#REF!,E27=#REF!)),$W$34,IF(AND(I27&gt;#REF!,OR(E27=#REF!,E27=#REF!)),$W$35,IF(AND(MONTH(B27)&lt;=#REF!,OR(E27=#REF!,E27=$U$37)),$W$36,$W$38)))</f>
        <v>#REF!</v>
      </c>
      <c r="P27" s="160" t="e">
        <f t="shared" ca="1" si="3"/>
        <v>#REF!</v>
      </c>
      <c r="Q27" s="39" t="e">
        <f t="shared" ca="1" si="4"/>
        <v>#REF!</v>
      </c>
      <c r="U27" s="41"/>
    </row>
    <row r="28" spans="1:23" x14ac:dyDescent="0.25">
      <c r="A28" s="42" t="s">
        <v>179</v>
      </c>
      <c r="B28" s="43">
        <v>44525</v>
      </c>
      <c r="C28" s="42" t="s">
        <v>180</v>
      </c>
      <c r="D28" s="42" t="s">
        <v>181</v>
      </c>
      <c r="E28" s="42" t="s">
        <v>73</v>
      </c>
      <c r="F28" s="42" t="s">
        <v>46</v>
      </c>
      <c r="G28" s="165" t="s">
        <v>124</v>
      </c>
      <c r="H28" s="166">
        <v>0.05</v>
      </c>
      <c r="I28" s="37">
        <v>280000</v>
      </c>
      <c r="J28" s="37">
        <f ca="1">(YEAR(TODAY())-YEAR(B28))*VLOOKUP(F28,'[4]נתונים נוספים'!$A$3:$C$9,3,FALSE)+VLOOKUP(F28,'[4]נתונים נוספים'!$A$3:$C$9,2,FALSE)</f>
        <v>12750</v>
      </c>
      <c r="K28" s="44" t="str">
        <f t="shared" si="0"/>
        <v>רבעון 4</v>
      </c>
      <c r="L28" s="44" t="str">
        <f>VLOOKUP(K28,'[4]נתונים נוספים'!$A$14:$M$17,VLOOKUP(E28,'[4]נתונים נוספים'!$Q$8:$R$19,2,FALSE),FALSE)</f>
        <v>אין הטבה</v>
      </c>
      <c r="M28" s="40">
        <f>IF(K28=$J$48,DATE(YEAR(B28)+$K$48,MONTH(B28),DAY(B28)),IF(OR(YEAR(B28)=$J$49,YEAR(B28)=$J$50),DATE(YEAR(B28)+$K$49,MONTH(B28),DAY(B28)+$L$49),"X"))</f>
        <v>46721</v>
      </c>
      <c r="N28" s="44">
        <f t="shared" si="2"/>
        <v>3</v>
      </c>
      <c r="O28" s="44" t="e">
        <f>IF(AND(I28&lt;=#REF!,OR(E28=#REF!,E28=#REF!)),$W$34,IF(AND(I28&gt;#REF!,OR(E28=#REF!,E28=#REF!)),$W$35,IF(AND(MONTH(B28)&lt;=#REF!,OR(E28=#REF!,E28=$U$37)),$W$36,$W$38)))</f>
        <v>#REF!</v>
      </c>
      <c r="P28" s="161" t="e">
        <f t="shared" ca="1" si="3"/>
        <v>#REF!</v>
      </c>
      <c r="Q28" s="39" t="e">
        <f t="shared" ca="1" si="4"/>
        <v>#REF!</v>
      </c>
    </row>
    <row r="30" spans="1:23" x14ac:dyDescent="0.25">
      <c r="I30" s="39"/>
      <c r="L30" s="30"/>
      <c r="N30" s="30"/>
    </row>
    <row r="31" spans="1:23" x14ac:dyDescent="0.25">
      <c r="P31" s="33"/>
      <c r="Q31" s="33"/>
      <c r="T31" s="28">
        <v>1</v>
      </c>
      <c r="U31" s="28" t="s">
        <v>204</v>
      </c>
    </row>
    <row r="32" spans="1:23" ht="17.399999999999999" x14ac:dyDescent="0.25">
      <c r="F32" s="440"/>
      <c r="G32" s="440"/>
      <c r="H32" s="440"/>
      <c r="I32" s="440"/>
      <c r="J32" s="440"/>
      <c r="K32" s="440"/>
      <c r="L32" s="440"/>
      <c r="M32" s="440"/>
      <c r="N32" s="46"/>
      <c r="P32" s="41"/>
      <c r="Q32" s="41"/>
    </row>
    <row r="33" spans="1:22" x14ac:dyDescent="0.25">
      <c r="G33" s="45"/>
      <c r="H33" s="45"/>
      <c r="I33" s="45"/>
      <c r="J33" s="45"/>
      <c r="K33" s="45"/>
      <c r="L33" s="45"/>
      <c r="M33" s="45"/>
      <c r="N33" s="45"/>
      <c r="O33" s="45"/>
      <c r="P33" s="41"/>
      <c r="Q33" s="41"/>
    </row>
    <row r="34" spans="1:22" x14ac:dyDescent="0.25">
      <c r="A34" s="167"/>
      <c r="G34" s="45"/>
      <c r="H34" s="45"/>
      <c r="I34" s="45"/>
      <c r="J34" s="45"/>
      <c r="K34" s="45"/>
      <c r="L34" s="45"/>
      <c r="M34" s="45"/>
      <c r="N34" s="45"/>
      <c r="O34" s="45"/>
      <c r="P34" s="41"/>
      <c r="Q34" s="156" t="s">
        <v>110</v>
      </c>
      <c r="R34" s="190"/>
      <c r="T34" s="441">
        <v>2</v>
      </c>
      <c r="U34" s="182"/>
      <c r="V34" s="158"/>
    </row>
    <row r="35" spans="1:22" x14ac:dyDescent="0.25">
      <c r="G35" s="45"/>
      <c r="H35" s="45"/>
      <c r="I35" s="45"/>
      <c r="J35" s="45"/>
      <c r="K35" s="45"/>
      <c r="L35" s="45"/>
      <c r="M35" s="45"/>
      <c r="N35" s="45"/>
      <c r="O35" s="45"/>
      <c r="P35" s="41"/>
      <c r="Q35" s="41" t="s">
        <v>68</v>
      </c>
      <c r="T35" s="441"/>
      <c r="U35" s="183"/>
      <c r="V35" s="44"/>
    </row>
    <row r="36" spans="1:22" x14ac:dyDescent="0.25">
      <c r="A36" s="33"/>
      <c r="B36" s="33"/>
      <c r="C36" s="33"/>
      <c r="D36" s="32"/>
      <c r="E36" s="32"/>
      <c r="F36" s="33"/>
      <c r="G36" s="32"/>
      <c r="H36" s="32"/>
      <c r="I36" s="27"/>
      <c r="L36" s="30"/>
      <c r="M36" s="30"/>
      <c r="O36" s="45">
        <f>DSUM($A$1:$Q$28,I1,$Q$34:$R$36)</f>
        <v>1847625</v>
      </c>
      <c r="P36" s="41"/>
      <c r="Q36" s="41" t="s">
        <v>70</v>
      </c>
      <c r="T36" s="441"/>
      <c r="U36" s="183"/>
      <c r="V36" s="44"/>
    </row>
    <row r="37" spans="1:22" x14ac:dyDescent="0.25">
      <c r="A37" s="41"/>
      <c r="B37" s="40"/>
      <c r="C37" s="41"/>
      <c r="D37" s="41"/>
      <c r="E37" s="41"/>
      <c r="F37" s="41"/>
      <c r="H37" s="168"/>
      <c r="I37" s="47"/>
      <c r="J37" s="45"/>
      <c r="K37" s="45"/>
      <c r="L37" s="48"/>
      <c r="M37" s="45"/>
      <c r="N37" s="45"/>
      <c r="O37" s="45"/>
      <c r="P37" s="41"/>
      <c r="Q37" s="41"/>
      <c r="U37" s="41"/>
    </row>
    <row r="38" spans="1:22" x14ac:dyDescent="0.25">
      <c r="A38" s="41"/>
      <c r="B38" s="40"/>
      <c r="C38" s="41"/>
      <c r="D38" s="41"/>
      <c r="E38" s="41"/>
      <c r="F38" s="41"/>
      <c r="H38" s="168"/>
      <c r="I38" s="47"/>
      <c r="J38" s="45"/>
      <c r="K38" s="45"/>
      <c r="L38" s="48"/>
      <c r="M38" s="45"/>
      <c r="N38" s="45"/>
      <c r="O38" s="45"/>
      <c r="P38" s="41"/>
      <c r="Q38" s="41"/>
    </row>
    <row r="39" spans="1:22" x14ac:dyDescent="0.25">
      <c r="A39" s="41"/>
      <c r="B39" s="40"/>
      <c r="C39" s="41"/>
      <c r="D39" s="41"/>
      <c r="E39" s="41"/>
      <c r="F39" s="41"/>
      <c r="H39" s="168"/>
      <c r="I39" s="47"/>
      <c r="J39" s="45"/>
      <c r="K39" s="45"/>
      <c r="L39" s="48"/>
      <c r="M39" s="45"/>
      <c r="N39" s="45"/>
      <c r="O39" s="45"/>
      <c r="P39" s="41"/>
      <c r="Q39" s="41"/>
    </row>
    <row r="40" spans="1:22" ht="16.2" thickBot="1" x14ac:dyDescent="0.3">
      <c r="A40" s="41"/>
      <c r="B40" s="40"/>
      <c r="C40" s="41"/>
      <c r="D40" s="41"/>
      <c r="E40" s="41"/>
      <c r="F40" s="41"/>
      <c r="H40" s="168"/>
      <c r="I40" s="47"/>
      <c r="J40" s="45"/>
      <c r="K40" s="45"/>
      <c r="L40" s="48"/>
      <c r="M40" s="45"/>
      <c r="N40" s="45"/>
      <c r="O40" s="45"/>
      <c r="P40" s="41"/>
      <c r="Q40" s="41"/>
    </row>
    <row r="41" spans="1:22" ht="16.2" thickBot="1" x14ac:dyDescent="0.3">
      <c r="A41" s="41"/>
      <c r="B41" s="40"/>
      <c r="C41" s="41"/>
      <c r="D41" s="41"/>
      <c r="E41" s="41"/>
      <c r="F41" s="33"/>
      <c r="H41" s="168"/>
      <c r="I41" s="47"/>
      <c r="J41" s="45"/>
      <c r="K41" s="45"/>
      <c r="L41" s="48"/>
      <c r="M41" s="45"/>
      <c r="N41" s="45"/>
      <c r="O41" s="45"/>
      <c r="P41" s="41"/>
      <c r="Q41" s="41"/>
      <c r="T41" s="28">
        <v>3</v>
      </c>
      <c r="U41" s="28" t="s">
        <v>203</v>
      </c>
      <c r="V41" s="298"/>
    </row>
    <row r="42" spans="1:22" x14ac:dyDescent="0.25">
      <c r="A42" s="41"/>
      <c r="B42" s="40"/>
      <c r="C42" s="41"/>
      <c r="D42" s="41"/>
      <c r="E42" s="41"/>
      <c r="F42" s="169"/>
      <c r="I42" s="47"/>
      <c r="J42" s="45"/>
      <c r="K42" s="45"/>
      <c r="L42" s="45"/>
      <c r="M42" s="45"/>
      <c r="N42" s="45"/>
      <c r="O42" s="45"/>
      <c r="T42" s="32"/>
      <c r="U42" s="33"/>
    </row>
    <row r="43" spans="1:22" x14ac:dyDescent="0.25">
      <c r="A43" s="41"/>
      <c r="B43" s="40"/>
      <c r="C43" s="41"/>
      <c r="D43" s="41"/>
      <c r="E43" s="41"/>
      <c r="F43" s="169"/>
      <c r="H43" s="168"/>
      <c r="I43" s="47"/>
      <c r="J43" s="45"/>
      <c r="K43" s="45"/>
      <c r="L43" s="45"/>
      <c r="M43" s="45"/>
      <c r="N43" s="45"/>
      <c r="O43" s="45"/>
      <c r="Q43" s="33"/>
      <c r="T43" s="41"/>
    </row>
    <row r="44" spans="1:22" x14ac:dyDescent="0.25">
      <c r="F44" s="169"/>
      <c r="G44" s="45"/>
      <c r="H44" s="45"/>
      <c r="I44" s="45"/>
      <c r="J44" s="45"/>
      <c r="K44" s="45"/>
      <c r="L44" s="45"/>
      <c r="M44" s="45"/>
      <c r="N44" s="45"/>
      <c r="O44" s="45"/>
      <c r="T44" s="41"/>
    </row>
    <row r="45" spans="1:22" ht="17.399999999999999" x14ac:dyDescent="0.25">
      <c r="I45" s="49"/>
    </row>
    <row r="46" spans="1:22" x14ac:dyDescent="0.25">
      <c r="O46" s="50"/>
    </row>
    <row r="48" spans="1:22" x14ac:dyDescent="0.25">
      <c r="J48" s="28" t="s">
        <v>81</v>
      </c>
      <c r="K48" s="28">
        <v>5</v>
      </c>
    </row>
    <row r="49" spans="5:12" x14ac:dyDescent="0.25">
      <c r="E49" s="28"/>
      <c r="F49" s="28"/>
      <c r="J49" s="28">
        <v>2020</v>
      </c>
      <c r="K49" s="28">
        <v>6</v>
      </c>
      <c r="L49" s="28">
        <v>5</v>
      </c>
    </row>
    <row r="50" spans="5:12" x14ac:dyDescent="0.25">
      <c r="E50" s="28"/>
      <c r="F50" s="28"/>
      <c r="J50" s="28">
        <v>2021</v>
      </c>
    </row>
    <row r="51" spans="5:12" x14ac:dyDescent="0.25">
      <c r="E51" s="28"/>
      <c r="F51" s="28"/>
      <c r="J51" s="40">
        <v>44982</v>
      </c>
      <c r="K51" s="28">
        <v>1</v>
      </c>
    </row>
    <row r="52" spans="5:12" x14ac:dyDescent="0.25">
      <c r="J52" s="28">
        <v>7</v>
      </c>
      <c r="K52" s="28" t="s">
        <v>169</v>
      </c>
    </row>
    <row r="53" spans="5:12" x14ac:dyDescent="0.25">
      <c r="J53" s="45"/>
      <c r="K53" s="45"/>
    </row>
    <row r="57" spans="5:12" x14ac:dyDescent="0.25">
      <c r="H57" s="44" t="s">
        <v>120</v>
      </c>
      <c r="I57" s="44" t="s">
        <v>121</v>
      </c>
    </row>
    <row r="58" spans="5:12" x14ac:dyDescent="0.25">
      <c r="H58" s="44">
        <v>3</v>
      </c>
      <c r="I58" s="44" t="s">
        <v>76</v>
      </c>
    </row>
    <row r="59" spans="5:12" x14ac:dyDescent="0.25">
      <c r="H59" s="44">
        <v>6</v>
      </c>
      <c r="I59" s="44" t="s">
        <v>81</v>
      </c>
    </row>
    <row r="60" spans="5:12" x14ac:dyDescent="0.25">
      <c r="H60" s="44">
        <v>9</v>
      </c>
      <c r="I60" s="44" t="s">
        <v>82</v>
      </c>
    </row>
    <row r="61" spans="5:12" x14ac:dyDescent="0.25">
      <c r="H61" s="44"/>
      <c r="I61" s="44" t="s">
        <v>83</v>
      </c>
    </row>
  </sheetData>
  <mergeCells count="2">
    <mergeCell ref="F32:M32"/>
    <mergeCell ref="T34:T3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0FA4A-BECF-4357-B409-8B107F35C67B}">
  <dimension ref="A1:T39"/>
  <sheetViews>
    <sheetView rightToLeft="1" topLeftCell="C1" zoomScale="130" zoomScaleNormal="130" workbookViewId="0">
      <selection activeCell="K13" sqref="K13"/>
    </sheetView>
  </sheetViews>
  <sheetFormatPr defaultColWidth="9.09765625" defaultRowHeight="13.8" x14ac:dyDescent="0.25"/>
  <cols>
    <col min="1" max="1" width="17.09765625" style="360" customWidth="1"/>
    <col min="2" max="2" width="18.5" style="360" bestFit="1" customWidth="1"/>
    <col min="3" max="3" width="9.09765625" style="360"/>
    <col min="4" max="4" width="12" style="360" customWidth="1"/>
    <col min="5" max="5" width="6.796875" style="360" bestFit="1" customWidth="1"/>
    <col min="6" max="6" width="16.3984375" style="360" customWidth="1"/>
    <col min="7" max="7" width="21.09765625" style="360" customWidth="1"/>
    <col min="8" max="8" width="16" style="360" customWidth="1"/>
    <col min="9" max="9" width="13.796875" style="360" customWidth="1"/>
    <col min="10" max="10" width="12.69921875" style="360" customWidth="1"/>
    <col min="11" max="11" width="11.8984375" style="360" customWidth="1"/>
    <col min="12" max="12" width="9.09765625" style="360"/>
    <col min="13" max="13" width="16.3984375" style="360" customWidth="1"/>
    <col min="14" max="17" width="9.09765625" style="360"/>
    <col min="18" max="18" width="22.59765625" style="360" customWidth="1"/>
    <col min="19" max="19" width="29.3984375" style="360" customWidth="1"/>
    <col min="20" max="16384" width="9.09765625" style="360"/>
  </cols>
  <sheetData>
    <row r="1" spans="1:20" s="387" customFormat="1" ht="33" customHeight="1" x14ac:dyDescent="0.35">
      <c r="A1" s="386" t="s">
        <v>526</v>
      </c>
      <c r="B1" s="386" t="s">
        <v>393</v>
      </c>
      <c r="C1" s="386" t="s">
        <v>392</v>
      </c>
      <c r="D1" s="386" t="s">
        <v>316</v>
      </c>
      <c r="E1" s="386" t="s">
        <v>38</v>
      </c>
      <c r="F1" s="386" t="s">
        <v>397</v>
      </c>
      <c r="G1" s="386" t="s">
        <v>527</v>
      </c>
      <c r="H1" s="386" t="s">
        <v>528</v>
      </c>
      <c r="I1" s="386" t="s">
        <v>529</v>
      </c>
      <c r="J1" s="386" t="s">
        <v>530</v>
      </c>
      <c r="K1" s="386" t="s">
        <v>575</v>
      </c>
      <c r="L1" s="387" t="s">
        <v>573</v>
      </c>
      <c r="N1" s="387" t="s">
        <v>570</v>
      </c>
      <c r="O1" s="387" t="s">
        <v>571</v>
      </c>
      <c r="P1" s="387" t="s">
        <v>572</v>
      </c>
      <c r="R1" s="388"/>
      <c r="S1" s="389"/>
      <c r="T1" s="390"/>
    </row>
    <row r="2" spans="1:20" x14ac:dyDescent="0.25">
      <c r="A2" s="360">
        <v>100</v>
      </c>
      <c r="B2" s="362" t="s">
        <v>454</v>
      </c>
      <c r="C2" s="362" t="s">
        <v>471</v>
      </c>
      <c r="D2" s="363">
        <v>32992</v>
      </c>
      <c r="E2" s="364">
        <v>4849</v>
      </c>
      <c r="F2" s="362" t="s">
        <v>73</v>
      </c>
      <c r="G2" s="362">
        <v>90</v>
      </c>
      <c r="H2" s="362">
        <v>95</v>
      </c>
      <c r="I2" s="362">
        <v>100</v>
      </c>
      <c r="J2" s="362">
        <v>59</v>
      </c>
      <c r="K2" s="420">
        <f>E2-L2</f>
        <v>4079.2</v>
      </c>
      <c r="L2" s="359">
        <f>(E2-N2)*O2+P2</f>
        <v>769.8</v>
      </c>
      <c r="M2" s="360" t="s">
        <v>574</v>
      </c>
      <c r="N2" s="360">
        <f>_xlfn.XLOOKUP(E2,$N$19:$N$22,$N$19:$N$22,,-1)</f>
        <v>4000</v>
      </c>
      <c r="O2" s="419">
        <f>_xlfn.XLOOKUP(E2,$N$19:$N$22,$O$19:$O$22,,-1)</f>
        <v>0.2</v>
      </c>
      <c r="P2" s="361">
        <f>_xlfn.XLOOKUP(E2,$N$19:$N$22,$P$19:$P$22,,-1)</f>
        <v>600</v>
      </c>
      <c r="Q2" s="361"/>
      <c r="R2" s="359"/>
      <c r="S2" s="366"/>
      <c r="T2" s="359"/>
    </row>
    <row r="3" spans="1:20" x14ac:dyDescent="0.25">
      <c r="A3" s="360">
        <v>101</v>
      </c>
      <c r="B3" s="362" t="s">
        <v>531</v>
      </c>
      <c r="C3" s="362" t="s">
        <v>454</v>
      </c>
      <c r="D3" s="363">
        <v>33388</v>
      </c>
      <c r="E3" s="364">
        <v>8437</v>
      </c>
      <c r="F3" s="362" t="s">
        <v>235</v>
      </c>
      <c r="G3" s="362">
        <v>100</v>
      </c>
      <c r="H3" s="362">
        <v>100</v>
      </c>
      <c r="I3" s="362">
        <v>100</v>
      </c>
      <c r="J3" s="362">
        <v>100</v>
      </c>
      <c r="K3" s="420">
        <f t="shared" ref="K3:K13" si="0">E3-L3</f>
        <v>6877.75</v>
      </c>
      <c r="L3" s="359">
        <f t="shared" ref="L3:L13" si="1">(E3-N3)*O3+P3</f>
        <v>1559.25</v>
      </c>
      <c r="M3" s="359"/>
      <c r="N3" s="360">
        <f t="shared" ref="N3:N13" si="2">_xlfn.XLOOKUP(E3,$N$19:$N$22,$N$19:$N$22,,-1)</f>
        <v>7000</v>
      </c>
      <c r="O3" s="419">
        <f t="shared" ref="O3:O13" si="3">_xlfn.XLOOKUP(E3,$N$19:$N$22,$O$19:$O$22,,-1)</f>
        <v>0.25</v>
      </c>
      <c r="P3" s="361">
        <f t="shared" ref="P3:P13" si="4">_xlfn.XLOOKUP(E3,$N$19:$N$22,$P$19:$P$22,,-1)</f>
        <v>1200</v>
      </c>
      <c r="Q3" s="361"/>
      <c r="R3" s="359"/>
      <c r="S3" s="366"/>
      <c r="T3" s="359"/>
    </row>
    <row r="4" spans="1:20" x14ac:dyDescent="0.25">
      <c r="A4" s="360">
        <v>102</v>
      </c>
      <c r="B4" s="362" t="s">
        <v>532</v>
      </c>
      <c r="C4" s="362" t="s">
        <v>417</v>
      </c>
      <c r="D4" s="363">
        <v>34162</v>
      </c>
      <c r="E4" s="364">
        <v>3558</v>
      </c>
      <c r="F4" s="362" t="s">
        <v>247</v>
      </c>
      <c r="G4" s="362">
        <v>87</v>
      </c>
      <c r="H4" s="362">
        <v>65</v>
      </c>
      <c r="I4" s="362">
        <v>72</v>
      </c>
      <c r="J4" s="362">
        <v>85</v>
      </c>
      <c r="K4" s="420">
        <f t="shared" si="0"/>
        <v>3024.3</v>
      </c>
      <c r="L4" s="359">
        <f t="shared" si="1"/>
        <v>533.69999999999993</v>
      </c>
      <c r="M4" s="359"/>
      <c r="N4" s="360">
        <f t="shared" si="2"/>
        <v>0</v>
      </c>
      <c r="O4" s="419">
        <f t="shared" si="3"/>
        <v>0.15</v>
      </c>
      <c r="P4" s="361">
        <f t="shared" si="4"/>
        <v>0</v>
      </c>
      <c r="Q4" s="361"/>
      <c r="R4" s="359"/>
      <c r="S4" s="366"/>
      <c r="T4" s="359"/>
    </row>
    <row r="5" spans="1:20" x14ac:dyDescent="0.25">
      <c r="A5" s="360">
        <v>103</v>
      </c>
      <c r="B5" s="367" t="s">
        <v>443</v>
      </c>
      <c r="C5" s="362" t="s">
        <v>533</v>
      </c>
      <c r="D5" s="363">
        <v>34385</v>
      </c>
      <c r="E5" s="364">
        <v>3215</v>
      </c>
      <c r="F5" s="362" t="s">
        <v>252</v>
      </c>
      <c r="G5" s="362">
        <v>85</v>
      </c>
      <c r="H5" s="362">
        <v>78</v>
      </c>
      <c r="I5" s="362">
        <v>95</v>
      </c>
      <c r="J5" s="362">
        <v>65</v>
      </c>
      <c r="K5" s="420">
        <f t="shared" si="0"/>
        <v>2732.75</v>
      </c>
      <c r="L5" s="359">
        <f t="shared" si="1"/>
        <v>482.25</v>
      </c>
      <c r="M5" s="359"/>
      <c r="N5" s="360">
        <f t="shared" si="2"/>
        <v>0</v>
      </c>
      <c r="O5" s="419">
        <f t="shared" si="3"/>
        <v>0.15</v>
      </c>
      <c r="P5" s="361">
        <f t="shared" si="4"/>
        <v>0</v>
      </c>
      <c r="Q5" s="361"/>
      <c r="R5" s="359"/>
      <c r="S5" s="366"/>
      <c r="T5" s="359"/>
    </row>
    <row r="6" spans="1:20" x14ac:dyDescent="0.25">
      <c r="A6" s="360">
        <v>104</v>
      </c>
      <c r="B6" s="362" t="s">
        <v>534</v>
      </c>
      <c r="C6" s="362" t="s">
        <v>535</v>
      </c>
      <c r="D6" s="363">
        <v>33473</v>
      </c>
      <c r="E6" s="364">
        <v>5700</v>
      </c>
      <c r="F6" s="362" t="s">
        <v>536</v>
      </c>
      <c r="G6" s="362">
        <v>63</v>
      </c>
      <c r="H6" s="362">
        <v>98</v>
      </c>
      <c r="I6" s="362">
        <v>92</v>
      </c>
      <c r="J6" s="362">
        <v>48</v>
      </c>
      <c r="K6" s="420">
        <f t="shared" si="0"/>
        <v>4760</v>
      </c>
      <c r="L6" s="359">
        <f t="shared" si="1"/>
        <v>940</v>
      </c>
      <c r="M6" s="359"/>
      <c r="N6" s="360">
        <f t="shared" si="2"/>
        <v>4000</v>
      </c>
      <c r="O6" s="419">
        <f t="shared" si="3"/>
        <v>0.2</v>
      </c>
      <c r="P6" s="361">
        <f t="shared" si="4"/>
        <v>600</v>
      </c>
      <c r="Q6" s="361"/>
      <c r="R6" s="359"/>
      <c r="S6" s="366"/>
      <c r="T6" s="359"/>
    </row>
    <row r="7" spans="1:20" x14ac:dyDescent="0.25">
      <c r="A7" s="360">
        <v>105</v>
      </c>
      <c r="B7" s="367" t="s">
        <v>537</v>
      </c>
      <c r="C7" s="362" t="s">
        <v>538</v>
      </c>
      <c r="D7" s="363">
        <v>33005</v>
      </c>
      <c r="E7" s="364">
        <v>6727</v>
      </c>
      <c r="F7" s="362" t="s">
        <v>67</v>
      </c>
      <c r="G7" s="362">
        <v>45</v>
      </c>
      <c r="H7" s="362">
        <v>95</v>
      </c>
      <c r="I7" s="362">
        <v>68</v>
      </c>
      <c r="J7" s="362">
        <v>92</v>
      </c>
      <c r="K7" s="420">
        <f t="shared" si="0"/>
        <v>5581.6</v>
      </c>
      <c r="L7" s="359">
        <f t="shared" si="1"/>
        <v>1145.4000000000001</v>
      </c>
      <c r="M7" s="359"/>
      <c r="N7" s="360">
        <f t="shared" si="2"/>
        <v>4000</v>
      </c>
      <c r="O7" s="419">
        <f t="shared" si="3"/>
        <v>0.2</v>
      </c>
      <c r="P7" s="361">
        <f t="shared" si="4"/>
        <v>600</v>
      </c>
      <c r="Q7" s="361"/>
      <c r="R7" s="359"/>
      <c r="S7" s="366"/>
      <c r="T7" s="359"/>
    </row>
    <row r="8" spans="1:20" x14ac:dyDescent="0.25">
      <c r="A8" s="360">
        <v>106</v>
      </c>
      <c r="B8" s="362" t="s">
        <v>434</v>
      </c>
      <c r="C8" s="362" t="s">
        <v>539</v>
      </c>
      <c r="D8" s="363">
        <v>34601</v>
      </c>
      <c r="E8" s="364">
        <v>6901</v>
      </c>
      <c r="F8" s="362" t="s">
        <v>73</v>
      </c>
      <c r="G8" s="362">
        <v>55</v>
      </c>
      <c r="H8" s="362">
        <v>67</v>
      </c>
      <c r="I8" s="362">
        <v>78</v>
      </c>
      <c r="J8" s="362">
        <v>87</v>
      </c>
      <c r="K8" s="420">
        <f t="shared" si="0"/>
        <v>5720.8</v>
      </c>
      <c r="L8" s="359">
        <f t="shared" si="1"/>
        <v>1180.2</v>
      </c>
      <c r="M8" s="359"/>
      <c r="N8" s="360">
        <f t="shared" si="2"/>
        <v>4000</v>
      </c>
      <c r="O8" s="419">
        <f t="shared" si="3"/>
        <v>0.2</v>
      </c>
      <c r="P8" s="361">
        <f t="shared" si="4"/>
        <v>600</v>
      </c>
      <c r="Q8" s="361"/>
      <c r="R8" s="359"/>
      <c r="S8" s="366"/>
      <c r="T8" s="359"/>
    </row>
    <row r="9" spans="1:20" x14ac:dyDescent="0.25">
      <c r="A9" s="360">
        <v>107</v>
      </c>
      <c r="B9" s="362" t="s">
        <v>540</v>
      </c>
      <c r="C9" s="362" t="s">
        <v>541</v>
      </c>
      <c r="D9" s="363">
        <v>33341</v>
      </c>
      <c r="E9" s="364">
        <v>8500</v>
      </c>
      <c r="F9" s="362" t="s">
        <v>74</v>
      </c>
      <c r="G9" s="362">
        <v>69</v>
      </c>
      <c r="H9" s="362">
        <v>58</v>
      </c>
      <c r="I9" s="362">
        <v>88</v>
      </c>
      <c r="J9" s="362">
        <v>85</v>
      </c>
      <c r="K9" s="420">
        <f t="shared" si="0"/>
        <v>6925</v>
      </c>
      <c r="L9" s="359">
        <f t="shared" si="1"/>
        <v>1575</v>
      </c>
      <c r="M9" s="359"/>
      <c r="N9" s="360">
        <f t="shared" si="2"/>
        <v>7000</v>
      </c>
      <c r="O9" s="419">
        <f t="shared" si="3"/>
        <v>0.25</v>
      </c>
      <c r="P9" s="361">
        <f t="shared" si="4"/>
        <v>1200</v>
      </c>
      <c r="Q9" s="361"/>
      <c r="R9" s="359"/>
      <c r="S9" s="366"/>
      <c r="T9" s="359"/>
    </row>
    <row r="10" spans="1:20" x14ac:dyDescent="0.25">
      <c r="A10" s="360">
        <v>108</v>
      </c>
      <c r="B10" s="362" t="s">
        <v>434</v>
      </c>
      <c r="C10" s="362" t="s">
        <v>542</v>
      </c>
      <c r="D10" s="363">
        <v>33234</v>
      </c>
      <c r="E10" s="364">
        <v>9770</v>
      </c>
      <c r="F10" s="362" t="s">
        <v>73</v>
      </c>
      <c r="G10" s="362">
        <v>87</v>
      </c>
      <c r="H10" s="362">
        <v>84</v>
      </c>
      <c r="I10" s="362">
        <v>68</v>
      </c>
      <c r="J10" s="362">
        <v>65</v>
      </c>
      <c r="K10" s="420">
        <f t="shared" si="0"/>
        <v>7877.5</v>
      </c>
      <c r="L10" s="359">
        <f t="shared" si="1"/>
        <v>1892.5</v>
      </c>
      <c r="M10" s="359"/>
      <c r="N10" s="360">
        <f t="shared" si="2"/>
        <v>7000</v>
      </c>
      <c r="O10" s="419">
        <f t="shared" si="3"/>
        <v>0.25</v>
      </c>
      <c r="P10" s="361">
        <f t="shared" si="4"/>
        <v>1200</v>
      </c>
      <c r="Q10" s="361"/>
      <c r="R10" s="359"/>
      <c r="S10" s="366"/>
      <c r="T10" s="359"/>
    </row>
    <row r="11" spans="1:20" x14ac:dyDescent="0.25">
      <c r="A11" s="360">
        <v>109</v>
      </c>
      <c r="B11" s="367" t="s">
        <v>426</v>
      </c>
      <c r="C11" s="362" t="s">
        <v>436</v>
      </c>
      <c r="D11" s="363">
        <v>34537</v>
      </c>
      <c r="E11" s="364">
        <v>10706</v>
      </c>
      <c r="F11" s="362" t="s">
        <v>73</v>
      </c>
      <c r="G11" s="362">
        <v>72</v>
      </c>
      <c r="H11" s="362">
        <v>40</v>
      </c>
      <c r="I11" s="362">
        <v>74</v>
      </c>
      <c r="J11" s="362">
        <v>78</v>
      </c>
      <c r="K11" s="420">
        <f t="shared" si="0"/>
        <v>8544.2000000000007</v>
      </c>
      <c r="L11" s="359">
        <f t="shared" si="1"/>
        <v>2161.8000000000002</v>
      </c>
      <c r="M11" s="359"/>
      <c r="N11" s="360">
        <f t="shared" si="2"/>
        <v>10000</v>
      </c>
      <c r="O11" s="419">
        <f t="shared" si="3"/>
        <v>0.3</v>
      </c>
      <c r="P11" s="361">
        <f t="shared" si="4"/>
        <v>1950</v>
      </c>
      <c r="Q11" s="361"/>
      <c r="R11" s="359"/>
      <c r="S11" s="366"/>
      <c r="T11" s="359"/>
    </row>
    <row r="12" spans="1:20" x14ac:dyDescent="0.25">
      <c r="A12" s="360">
        <v>110</v>
      </c>
      <c r="B12" s="362" t="s">
        <v>543</v>
      </c>
      <c r="C12" s="362" t="s">
        <v>544</v>
      </c>
      <c r="D12" s="363">
        <v>34140</v>
      </c>
      <c r="E12" s="364">
        <v>3100</v>
      </c>
      <c r="F12" s="362" t="s">
        <v>235</v>
      </c>
      <c r="G12" s="362">
        <v>100</v>
      </c>
      <c r="H12" s="362">
        <v>66</v>
      </c>
      <c r="I12" s="362">
        <v>96</v>
      </c>
      <c r="J12" s="362">
        <v>52</v>
      </c>
      <c r="K12" s="420">
        <f t="shared" si="0"/>
        <v>2635</v>
      </c>
      <c r="L12" s="359">
        <f t="shared" si="1"/>
        <v>465</v>
      </c>
      <c r="M12" s="359"/>
      <c r="N12" s="360">
        <f t="shared" si="2"/>
        <v>0</v>
      </c>
      <c r="O12" s="419">
        <f t="shared" si="3"/>
        <v>0.15</v>
      </c>
      <c r="P12" s="361">
        <f t="shared" si="4"/>
        <v>0</v>
      </c>
      <c r="Q12" s="361"/>
      <c r="R12" s="359"/>
      <c r="S12" s="366"/>
      <c r="T12" s="359"/>
    </row>
    <row r="13" spans="1:20" x14ac:dyDescent="0.25">
      <c r="A13" s="360">
        <v>111</v>
      </c>
      <c r="B13" s="362" t="s">
        <v>545</v>
      </c>
      <c r="C13" s="362" t="s">
        <v>546</v>
      </c>
      <c r="D13" s="363">
        <v>33460</v>
      </c>
      <c r="E13" s="364">
        <v>7357</v>
      </c>
      <c r="F13" s="362" t="s">
        <v>247</v>
      </c>
      <c r="G13" s="362">
        <v>75</v>
      </c>
      <c r="H13" s="362">
        <v>100</v>
      </c>
      <c r="I13" s="362">
        <v>100</v>
      </c>
      <c r="J13" s="362">
        <v>92</v>
      </c>
      <c r="K13" s="420">
        <f t="shared" si="0"/>
        <v>6067.75</v>
      </c>
      <c r="L13" s="359">
        <f t="shared" si="1"/>
        <v>1289.25</v>
      </c>
      <c r="M13" s="359"/>
      <c r="N13" s="360">
        <f t="shared" si="2"/>
        <v>7000</v>
      </c>
      <c r="O13" s="419">
        <f t="shared" si="3"/>
        <v>0.25</v>
      </c>
      <c r="P13" s="361">
        <f t="shared" si="4"/>
        <v>1200</v>
      </c>
      <c r="Q13" s="361"/>
      <c r="R13" s="359"/>
      <c r="S13" s="366"/>
      <c r="T13" s="359"/>
    </row>
    <row r="14" spans="1:20" x14ac:dyDescent="0.25">
      <c r="B14" s="362"/>
      <c r="C14" s="362"/>
      <c r="D14" s="363"/>
      <c r="E14" s="364"/>
      <c r="F14" s="362"/>
      <c r="G14" s="362"/>
      <c r="H14" s="362"/>
      <c r="I14" s="362"/>
      <c r="J14" s="362"/>
      <c r="K14" s="365"/>
      <c r="L14" s="359"/>
      <c r="M14" s="359"/>
      <c r="O14" s="361"/>
      <c r="Q14" s="361"/>
      <c r="R14" s="359"/>
      <c r="S14" s="366"/>
      <c r="T14" s="359"/>
    </row>
    <row r="15" spans="1:20" x14ac:dyDescent="0.25">
      <c r="B15" s="362"/>
      <c r="C15" s="362"/>
      <c r="D15" s="363"/>
      <c r="E15" s="364"/>
      <c r="F15" s="362"/>
      <c r="G15" s="362"/>
      <c r="H15" s="362"/>
      <c r="I15" s="362"/>
      <c r="J15" s="362"/>
      <c r="K15" s="365"/>
      <c r="L15" s="359"/>
      <c r="Q15" s="361"/>
      <c r="R15" s="359"/>
      <c r="S15" s="366"/>
      <c r="T15" s="359"/>
    </row>
    <row r="16" spans="1:20" x14ac:dyDescent="0.25">
      <c r="B16" s="362"/>
      <c r="C16" s="362"/>
      <c r="D16" s="363"/>
      <c r="E16" s="364"/>
      <c r="F16" s="362"/>
      <c r="G16" s="362"/>
      <c r="H16" s="368"/>
      <c r="I16" s="368"/>
      <c r="J16" s="368"/>
      <c r="K16" s="365"/>
      <c r="L16" s="359"/>
      <c r="Q16" s="361"/>
      <c r="R16" s="359"/>
      <c r="S16" s="366"/>
      <c r="T16" s="359"/>
    </row>
    <row r="17" spans="1:20" x14ac:dyDescent="0.25">
      <c r="B17" s="362"/>
      <c r="C17" s="362"/>
      <c r="D17" s="363"/>
      <c r="E17" s="364"/>
      <c r="F17" s="362"/>
      <c r="G17" s="362"/>
      <c r="H17" s="362"/>
      <c r="I17" s="362"/>
      <c r="J17" s="362"/>
      <c r="K17" s="365"/>
      <c r="L17" s="359"/>
      <c r="M17" s="359"/>
      <c r="O17" s="361"/>
      <c r="Q17" s="361"/>
      <c r="R17" s="359"/>
      <c r="S17" s="366"/>
      <c r="T17" s="359"/>
    </row>
    <row r="18" spans="1:20" x14ac:dyDescent="0.25">
      <c r="B18" s="367"/>
      <c r="C18" s="362"/>
      <c r="D18" s="363"/>
      <c r="E18" s="364"/>
      <c r="F18" s="362"/>
      <c r="G18" s="362"/>
      <c r="H18" s="362"/>
      <c r="I18" s="385"/>
      <c r="J18" s="362"/>
      <c r="K18" s="365"/>
      <c r="L18" s="359"/>
      <c r="N18" s="359" t="s">
        <v>547</v>
      </c>
      <c r="O18" s="334" t="s">
        <v>523</v>
      </c>
      <c r="P18" s="361" t="s">
        <v>548</v>
      </c>
      <c r="Q18" s="361"/>
      <c r="R18" s="359"/>
      <c r="S18" s="366"/>
      <c r="T18" s="359"/>
    </row>
    <row r="19" spans="1:20" x14ac:dyDescent="0.25">
      <c r="D19" s="369"/>
      <c r="E19" s="364"/>
      <c r="F19" s="362"/>
      <c r="H19" s="362"/>
      <c r="I19" s="385"/>
      <c r="J19" s="362"/>
      <c r="K19" s="365"/>
      <c r="L19" s="359"/>
      <c r="N19" s="416">
        <v>0</v>
      </c>
      <c r="O19" s="417">
        <v>0.15</v>
      </c>
      <c r="P19" s="418">
        <f>O19*N19</f>
        <v>0</v>
      </c>
      <c r="Q19" s="361"/>
      <c r="R19" s="359"/>
      <c r="S19" s="366"/>
      <c r="T19" s="359"/>
    </row>
    <row r="20" spans="1:20" x14ac:dyDescent="0.25">
      <c r="D20" s="369"/>
      <c r="E20" s="364"/>
      <c r="F20" s="362"/>
      <c r="H20" s="362"/>
      <c r="I20" s="385"/>
      <c r="J20" s="362"/>
      <c r="K20" s="365"/>
      <c r="L20" s="359"/>
      <c r="N20" s="416">
        <v>4000</v>
      </c>
      <c r="O20" s="334">
        <v>0.2</v>
      </c>
      <c r="P20" s="361">
        <f>(N20-N19)*O19+P19</f>
        <v>600</v>
      </c>
      <c r="Q20" s="361"/>
      <c r="R20" s="359"/>
      <c r="S20" s="366"/>
      <c r="T20" s="359"/>
    </row>
    <row r="21" spans="1:20" x14ac:dyDescent="0.25">
      <c r="D21" s="369"/>
      <c r="E21" s="364"/>
      <c r="F21" s="362"/>
      <c r="H21" s="362"/>
      <c r="I21" s="385"/>
      <c r="J21" s="362"/>
      <c r="K21" s="365"/>
      <c r="L21" s="359"/>
      <c r="N21" s="359">
        <v>7000</v>
      </c>
      <c r="O21" s="334">
        <v>0.25</v>
      </c>
      <c r="P21" s="361">
        <f t="shared" ref="P21:P22" si="5">(N21-N20)*O20+P20</f>
        <v>1200</v>
      </c>
      <c r="Q21" s="361"/>
      <c r="R21" s="359"/>
      <c r="S21" s="366"/>
      <c r="T21" s="359"/>
    </row>
    <row r="22" spans="1:20" x14ac:dyDescent="0.25">
      <c r="H22" s="362"/>
      <c r="I22" s="365"/>
      <c r="N22" s="365">
        <v>10000</v>
      </c>
      <c r="O22" s="334">
        <v>0.3</v>
      </c>
      <c r="P22" s="361">
        <f t="shared" si="5"/>
        <v>1950</v>
      </c>
      <c r="Q22" s="361"/>
      <c r="R22" s="359"/>
      <c r="S22" s="366"/>
      <c r="T22" s="359"/>
    </row>
    <row r="23" spans="1:20" x14ac:dyDescent="0.25">
      <c r="I23" s="365"/>
      <c r="Q23" s="361"/>
      <c r="R23" s="359"/>
      <c r="S23" s="366"/>
      <c r="T23" s="359"/>
    </row>
    <row r="24" spans="1:20" x14ac:dyDescent="0.25">
      <c r="Q24" s="361"/>
      <c r="R24" s="359"/>
      <c r="S24" s="366"/>
      <c r="T24" s="359"/>
    </row>
    <row r="25" spans="1:20" x14ac:dyDescent="0.25">
      <c r="Q25" s="361"/>
      <c r="R25" s="359"/>
      <c r="S25" s="366"/>
      <c r="T25" s="359"/>
    </row>
    <row r="26" spans="1:20" x14ac:dyDescent="0.25">
      <c r="Q26" s="361"/>
      <c r="R26" s="359"/>
      <c r="S26" s="366"/>
      <c r="T26" s="359"/>
    </row>
    <row r="27" spans="1:20" x14ac:dyDescent="0.25">
      <c r="A27" s="368"/>
      <c r="B27" s="368"/>
      <c r="C27" s="368"/>
      <c r="Q27" s="361"/>
      <c r="R27" s="359"/>
      <c r="S27" s="366"/>
      <c r="T27" s="359"/>
    </row>
    <row r="28" spans="1:20" x14ac:dyDescent="0.25">
      <c r="A28" s="370"/>
      <c r="B28" s="370"/>
      <c r="C28" s="371"/>
      <c r="Q28" s="361"/>
      <c r="R28" s="359"/>
      <c r="S28" s="366"/>
      <c r="T28" s="359"/>
    </row>
    <row r="29" spans="1:20" x14ac:dyDescent="0.25">
      <c r="B29" s="334"/>
      <c r="Q29" s="361"/>
      <c r="R29" s="359"/>
      <c r="S29" s="366"/>
      <c r="T29" s="359"/>
    </row>
    <row r="30" spans="1:20" x14ac:dyDescent="0.25">
      <c r="B30" s="334"/>
    </row>
    <row r="31" spans="1:20" x14ac:dyDescent="0.25">
      <c r="B31" s="334"/>
    </row>
    <row r="32" spans="1:20" x14ac:dyDescent="0.25">
      <c r="B32" s="334"/>
    </row>
    <row r="34" spans="1:11" x14ac:dyDescent="0.25">
      <c r="A34" s="368"/>
      <c r="B34" s="372"/>
    </row>
    <row r="35" spans="1:11" x14ac:dyDescent="0.25">
      <c r="A35" s="372"/>
      <c r="B35" s="372"/>
    </row>
    <row r="36" spans="1:11" x14ac:dyDescent="0.25">
      <c r="A36" s="368"/>
      <c r="B36" s="372"/>
    </row>
    <row r="37" spans="1:11" x14ac:dyDescent="0.25">
      <c r="A37" s="372"/>
      <c r="B37" s="372"/>
    </row>
    <row r="38" spans="1:11" x14ac:dyDescent="0.25">
      <c r="A38" s="368"/>
    </row>
    <row r="39" spans="1:11" ht="33" x14ac:dyDescent="0.6">
      <c r="A39" s="373"/>
      <c r="B39" s="373"/>
      <c r="C39" s="373"/>
      <c r="D39" s="374"/>
      <c r="E39" s="374"/>
      <c r="F39" s="375" t="s">
        <v>549</v>
      </c>
      <c r="G39" s="374"/>
      <c r="H39" s="373"/>
      <c r="I39" s="373"/>
      <c r="J39" s="373"/>
      <c r="K39" s="373"/>
    </row>
  </sheetData>
  <pageMargins left="0.75" right="0.75" top="1" bottom="1" header="0.5" footer="0.5"/>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6E6BC-104E-4945-81ED-D25123A6EE43}">
  <dimension ref="A1:N26"/>
  <sheetViews>
    <sheetView rightToLeft="1" workbookViewId="0">
      <selection activeCell="F19" sqref="F19"/>
    </sheetView>
  </sheetViews>
  <sheetFormatPr defaultRowHeight="13.8" x14ac:dyDescent="0.25"/>
  <cols>
    <col min="1" max="1" width="21.5" customWidth="1"/>
    <col min="2" max="2" width="27.5" customWidth="1"/>
    <col min="6" max="6" width="18.5" customWidth="1"/>
  </cols>
  <sheetData>
    <row r="1" spans="1:14" ht="21" x14ac:dyDescent="0.4">
      <c r="A1" s="142" t="s">
        <v>0</v>
      </c>
      <c r="B1" s="143" t="s">
        <v>94</v>
      </c>
      <c r="C1" s="136"/>
      <c r="D1" s="136"/>
      <c r="E1" s="136"/>
      <c r="F1" s="136"/>
      <c r="G1" s="136"/>
      <c r="H1" s="136"/>
      <c r="I1" s="114"/>
      <c r="J1" s="114"/>
      <c r="K1" s="114"/>
      <c r="L1" s="114"/>
      <c r="M1" s="114"/>
      <c r="N1" s="136"/>
    </row>
    <row r="2" spans="1:14" ht="14.4" x14ac:dyDescent="0.3">
      <c r="A2" s="116">
        <v>1855</v>
      </c>
      <c r="B2" s="131" t="s">
        <v>104</v>
      </c>
      <c r="C2" s="137"/>
      <c r="D2" s="138"/>
      <c r="E2" s="139"/>
      <c r="F2" s="137"/>
      <c r="G2" s="140"/>
      <c r="H2" s="141"/>
      <c r="I2" s="121"/>
      <c r="J2" s="121"/>
      <c r="K2" s="122"/>
      <c r="L2" s="123"/>
      <c r="M2" s="122"/>
      <c r="N2" s="122"/>
    </row>
    <row r="3" spans="1:14" ht="14.4" x14ac:dyDescent="0.3">
      <c r="A3" s="116">
        <v>1856</v>
      </c>
      <c r="B3" s="131" t="s">
        <v>102</v>
      </c>
      <c r="C3" s="137"/>
      <c r="D3" s="138"/>
      <c r="E3" s="139"/>
      <c r="F3" s="137"/>
      <c r="G3" s="140"/>
      <c r="H3" s="141"/>
      <c r="I3" s="121"/>
      <c r="J3" s="121"/>
      <c r="K3" s="122"/>
      <c r="L3" s="123"/>
      <c r="M3" s="122"/>
      <c r="N3" s="122"/>
    </row>
    <row r="4" spans="1:14" ht="14.4" x14ac:dyDescent="0.3">
      <c r="A4" s="116">
        <v>1857</v>
      </c>
      <c r="B4" s="131" t="s">
        <v>104</v>
      </c>
      <c r="C4" s="137"/>
      <c r="D4" s="138"/>
      <c r="E4" s="139"/>
      <c r="F4" s="137"/>
      <c r="G4" s="140"/>
      <c r="H4" s="141"/>
      <c r="I4" s="121"/>
      <c r="J4" s="121"/>
      <c r="K4" s="122"/>
      <c r="L4" s="123"/>
      <c r="M4" s="122"/>
      <c r="N4" s="122"/>
    </row>
    <row r="5" spans="1:14" ht="14.4" x14ac:dyDescent="0.3">
      <c r="A5" s="116">
        <v>1858</v>
      </c>
      <c r="B5" s="131" t="s">
        <v>96</v>
      </c>
      <c r="C5" s="137"/>
      <c r="D5" s="138"/>
      <c r="E5" s="139"/>
      <c r="F5" s="137"/>
      <c r="G5" s="140"/>
      <c r="H5" s="141"/>
      <c r="I5" s="121"/>
      <c r="J5" s="121"/>
      <c r="K5" s="122"/>
      <c r="L5" s="123"/>
      <c r="M5" s="122"/>
      <c r="N5" s="122"/>
    </row>
    <row r="6" spans="1:14" ht="14.4" x14ac:dyDescent="0.3">
      <c r="A6" s="116">
        <v>1859</v>
      </c>
      <c r="B6" s="131" t="s">
        <v>104</v>
      </c>
      <c r="C6" s="137"/>
      <c r="D6" s="138"/>
      <c r="E6" s="139"/>
      <c r="F6" s="137"/>
      <c r="G6" s="140"/>
      <c r="H6" s="141"/>
      <c r="I6" s="121"/>
      <c r="J6" s="121"/>
      <c r="K6" s="122"/>
      <c r="L6" s="123"/>
      <c r="M6" s="122"/>
      <c r="N6" s="122"/>
    </row>
    <row r="7" spans="1:14" ht="14.4" x14ac:dyDescent="0.3">
      <c r="A7" s="116">
        <v>1860</v>
      </c>
      <c r="B7" s="131" t="s">
        <v>102</v>
      </c>
      <c r="C7" s="137"/>
      <c r="D7" s="138"/>
      <c r="E7" s="139"/>
      <c r="F7" s="137"/>
      <c r="G7" s="140"/>
      <c r="H7" s="141"/>
      <c r="I7" s="121"/>
      <c r="J7" s="121"/>
      <c r="K7" s="122"/>
      <c r="L7" s="123"/>
      <c r="M7" s="122"/>
      <c r="N7" s="122"/>
    </row>
    <row r="8" spans="1:14" ht="15" thickBot="1" x14ac:dyDescent="0.35">
      <c r="A8" s="116">
        <v>1861</v>
      </c>
      <c r="B8" s="131" t="s">
        <v>102</v>
      </c>
      <c r="C8" s="137"/>
      <c r="D8" s="138"/>
      <c r="E8" s="139"/>
      <c r="F8" s="137"/>
      <c r="G8" s="140"/>
      <c r="H8" s="141"/>
      <c r="I8" s="121"/>
      <c r="J8" s="121"/>
      <c r="K8" s="122"/>
      <c r="L8" s="123"/>
      <c r="M8" s="122"/>
      <c r="N8" s="122"/>
    </row>
    <row r="9" spans="1:14" ht="18.600000000000001" thickBot="1" x14ac:dyDescent="0.4">
      <c r="A9" s="116">
        <v>1862</v>
      </c>
      <c r="B9" s="131" t="s">
        <v>102</v>
      </c>
      <c r="C9" s="137"/>
      <c r="D9" s="138"/>
      <c r="E9" s="144" t="s">
        <v>95</v>
      </c>
      <c r="F9" s="145" t="s">
        <v>96</v>
      </c>
      <c r="G9" s="140"/>
      <c r="H9" s="141"/>
      <c r="I9" s="121"/>
      <c r="J9" s="121"/>
      <c r="K9" s="122"/>
      <c r="L9" s="123"/>
      <c r="M9" s="122"/>
      <c r="N9" s="122"/>
    </row>
    <row r="10" spans="1:14" ht="14.4" x14ac:dyDescent="0.3">
      <c r="A10" s="116">
        <v>1863</v>
      </c>
      <c r="B10" s="131" t="s">
        <v>102</v>
      </c>
      <c r="C10" s="137"/>
      <c r="D10" s="138"/>
      <c r="E10" s="139"/>
      <c r="F10" s="137"/>
      <c r="G10" s="140"/>
      <c r="H10" s="141"/>
      <c r="I10" s="121"/>
      <c r="J10" s="121"/>
      <c r="K10" s="122"/>
      <c r="L10" s="123"/>
      <c r="M10" s="122"/>
      <c r="N10" s="122"/>
    </row>
    <row r="11" spans="1:14" ht="14.4" x14ac:dyDescent="0.3">
      <c r="A11" s="116">
        <v>1864</v>
      </c>
      <c r="B11" s="131" t="s">
        <v>105</v>
      </c>
      <c r="C11" s="137"/>
      <c r="D11" s="138"/>
      <c r="E11" s="139"/>
      <c r="F11" s="137"/>
      <c r="G11" s="140"/>
      <c r="H11" s="141"/>
      <c r="I11" s="121"/>
      <c r="J11" s="121"/>
      <c r="K11" s="122"/>
      <c r="L11" s="123"/>
      <c r="M11" s="122"/>
      <c r="N11" s="122"/>
    </row>
    <row r="12" spans="1:14" ht="14.4" x14ac:dyDescent="0.3">
      <c r="A12" s="116">
        <v>1865</v>
      </c>
      <c r="B12" s="131" t="s">
        <v>104</v>
      </c>
      <c r="C12" s="137"/>
      <c r="D12" s="138"/>
      <c r="E12" s="139"/>
      <c r="F12" s="137"/>
      <c r="G12" s="140"/>
      <c r="H12" s="141"/>
      <c r="I12" s="121"/>
      <c r="J12" s="121"/>
      <c r="K12" s="122"/>
      <c r="L12" s="123"/>
      <c r="M12" s="122"/>
      <c r="N12" s="122"/>
    </row>
    <row r="13" spans="1:14" ht="14.4" x14ac:dyDescent="0.3">
      <c r="A13" s="116">
        <v>1866</v>
      </c>
      <c r="B13" s="131" t="s">
        <v>103</v>
      </c>
      <c r="C13" s="137"/>
      <c r="D13" s="138"/>
      <c r="E13" s="139"/>
      <c r="F13" s="137"/>
      <c r="G13" s="140"/>
      <c r="H13" s="141"/>
      <c r="I13" s="121"/>
      <c r="J13" s="121"/>
      <c r="K13" s="122"/>
      <c r="L13" s="123"/>
      <c r="M13" s="122"/>
      <c r="N13" s="122"/>
    </row>
    <row r="14" spans="1:14" ht="18" x14ac:dyDescent="0.35">
      <c r="A14" s="116">
        <v>1867</v>
      </c>
      <c r="B14" s="131" t="s">
        <v>105</v>
      </c>
      <c r="C14" s="137"/>
      <c r="D14" s="138"/>
      <c r="E14" s="139"/>
      <c r="F14" s="146"/>
      <c r="G14" s="140"/>
      <c r="H14" s="141"/>
      <c r="I14" s="121"/>
      <c r="J14" s="121"/>
      <c r="K14" s="122"/>
      <c r="L14" s="123"/>
      <c r="M14" s="122"/>
      <c r="N14" s="122"/>
    </row>
    <row r="15" spans="1:14" ht="14.4" x14ac:dyDescent="0.3">
      <c r="A15" s="116">
        <v>1868</v>
      </c>
      <c r="B15" s="131" t="s">
        <v>105</v>
      </c>
      <c r="C15" s="137"/>
      <c r="D15" s="138"/>
      <c r="E15" s="139"/>
      <c r="F15" s="137"/>
      <c r="G15" s="140"/>
      <c r="H15" s="141"/>
      <c r="I15" s="121"/>
      <c r="J15" s="121"/>
      <c r="K15" s="122"/>
      <c r="L15" s="123"/>
      <c r="M15" s="122"/>
      <c r="N15" s="122"/>
    </row>
    <row r="16" spans="1:14" ht="14.4" x14ac:dyDescent="0.3">
      <c r="A16" s="116">
        <v>1869</v>
      </c>
      <c r="B16" s="131" t="s">
        <v>103</v>
      </c>
      <c r="C16" s="137"/>
      <c r="D16" s="138"/>
      <c r="E16" s="139"/>
      <c r="F16" s="137"/>
      <c r="G16" s="140"/>
      <c r="H16" s="141"/>
      <c r="I16" s="121"/>
      <c r="J16" s="121"/>
      <c r="K16" s="122"/>
      <c r="L16" s="123"/>
      <c r="M16" s="122"/>
      <c r="N16" s="122"/>
    </row>
    <row r="17" spans="1:14" ht="14.4" x14ac:dyDescent="0.3">
      <c r="A17" s="116">
        <v>1870</v>
      </c>
      <c r="B17" s="131" t="s">
        <v>96</v>
      </c>
      <c r="C17" s="137"/>
      <c r="D17" s="138"/>
      <c r="E17" s="139"/>
      <c r="F17" s="137"/>
      <c r="G17" s="140"/>
      <c r="H17" s="141"/>
      <c r="I17" s="121"/>
      <c r="J17" s="121"/>
      <c r="K17" s="122"/>
      <c r="L17" s="123"/>
      <c r="M17" s="122"/>
      <c r="N17" s="122"/>
    </row>
    <row r="18" spans="1:14" ht="14.4" x14ac:dyDescent="0.3">
      <c r="A18" s="116">
        <v>1871</v>
      </c>
      <c r="B18" s="131" t="s">
        <v>96</v>
      </c>
      <c r="C18" s="137"/>
      <c r="D18" s="138"/>
      <c r="E18" s="139"/>
      <c r="F18" s="137"/>
      <c r="G18" s="140"/>
      <c r="H18" s="141"/>
      <c r="I18" s="121"/>
      <c r="J18" s="121"/>
      <c r="K18" s="122"/>
      <c r="L18" s="123"/>
      <c r="M18" s="122"/>
      <c r="N18" s="122"/>
    </row>
    <row r="19" spans="1:14" ht="14.4" x14ac:dyDescent="0.3">
      <c r="A19" s="116">
        <v>1872</v>
      </c>
      <c r="B19" s="131" t="s">
        <v>104</v>
      </c>
      <c r="C19" s="137"/>
      <c r="D19" s="138"/>
      <c r="E19" s="139"/>
      <c r="F19" s="137"/>
      <c r="G19" s="140"/>
      <c r="H19" s="141"/>
      <c r="I19" s="121"/>
      <c r="J19" s="121"/>
      <c r="K19" s="122"/>
      <c r="L19" s="123"/>
      <c r="M19" s="122"/>
      <c r="N19" s="122"/>
    </row>
    <row r="20" spans="1:14" ht="14.4" x14ac:dyDescent="0.3">
      <c r="A20" s="116">
        <v>1873</v>
      </c>
      <c r="B20" s="131" t="s">
        <v>100</v>
      </c>
      <c r="C20" s="137"/>
      <c r="D20" s="138"/>
      <c r="E20" s="139"/>
      <c r="F20" s="137"/>
      <c r="G20" s="140"/>
      <c r="H20" s="141"/>
      <c r="I20" s="121"/>
      <c r="J20" s="121"/>
      <c r="K20" s="122"/>
      <c r="L20" s="123"/>
      <c r="M20" s="122"/>
      <c r="N20" s="122"/>
    </row>
    <row r="21" spans="1:14" ht="14.4" x14ac:dyDescent="0.3">
      <c r="A21" s="116">
        <v>1874</v>
      </c>
      <c r="B21" s="131" t="s">
        <v>102</v>
      </c>
      <c r="C21" s="137"/>
      <c r="D21" s="138"/>
      <c r="E21" s="139"/>
      <c r="F21" s="137"/>
      <c r="G21" s="140"/>
      <c r="H21" s="141"/>
      <c r="I21" s="121"/>
      <c r="J21" s="121"/>
      <c r="K21" s="122"/>
      <c r="L21" s="123"/>
      <c r="M21" s="122"/>
      <c r="N21" s="122"/>
    </row>
    <row r="22" spans="1:14" ht="14.4" x14ac:dyDescent="0.3">
      <c r="A22" s="116">
        <v>1875</v>
      </c>
      <c r="B22" s="131" t="s">
        <v>100</v>
      </c>
      <c r="C22" s="137"/>
      <c r="D22" s="138"/>
      <c r="E22" s="139"/>
      <c r="F22" s="137"/>
      <c r="G22" s="140"/>
      <c r="H22" s="141"/>
      <c r="I22" s="121"/>
      <c r="J22" s="121"/>
      <c r="K22" s="122"/>
      <c r="L22" s="123"/>
      <c r="M22" s="122"/>
      <c r="N22" s="122"/>
    </row>
    <row r="23" spans="1:14" ht="14.4" x14ac:dyDescent="0.3">
      <c r="A23" s="116">
        <v>1876</v>
      </c>
      <c r="B23" s="131" t="s">
        <v>105</v>
      </c>
      <c r="C23" s="137"/>
      <c r="D23" s="138"/>
      <c r="E23" s="139"/>
      <c r="F23" s="137"/>
      <c r="G23" s="140"/>
      <c r="H23" s="141"/>
      <c r="I23" s="121"/>
      <c r="J23" s="121"/>
      <c r="K23" s="122"/>
      <c r="L23" s="123"/>
      <c r="M23" s="122"/>
      <c r="N23" s="122"/>
    </row>
    <row r="24" spans="1:14" ht="14.4" x14ac:dyDescent="0.3">
      <c r="A24" s="116">
        <v>1877</v>
      </c>
      <c r="B24" s="131" t="s">
        <v>105</v>
      </c>
      <c r="C24" s="137"/>
      <c r="D24" s="138"/>
      <c r="E24" s="139"/>
      <c r="F24" s="137"/>
      <c r="G24" s="140"/>
      <c r="H24" s="141"/>
      <c r="I24" s="121"/>
      <c r="J24" s="121"/>
      <c r="K24" s="122"/>
      <c r="L24" s="123"/>
      <c r="M24" s="122"/>
      <c r="N24" s="122"/>
    </row>
    <row r="25" spans="1:14" ht="14.4" x14ac:dyDescent="0.3">
      <c r="A25" s="116">
        <v>1878</v>
      </c>
      <c r="B25" s="131" t="s">
        <v>96</v>
      </c>
      <c r="C25" s="137"/>
      <c r="D25" s="138"/>
      <c r="E25" s="139"/>
      <c r="F25" s="137"/>
      <c r="G25" s="140"/>
      <c r="H25" s="141"/>
      <c r="I25" s="121"/>
      <c r="J25" s="121"/>
      <c r="K25" s="122"/>
      <c r="L25" s="123"/>
      <c r="M25" s="122"/>
      <c r="N25" s="122"/>
    </row>
    <row r="26" spans="1:14" ht="14.4" x14ac:dyDescent="0.3">
      <c r="A26" s="116">
        <v>1879</v>
      </c>
      <c r="B26" s="131" t="s">
        <v>105</v>
      </c>
      <c r="C26" s="137"/>
      <c r="D26" s="138"/>
      <c r="E26" s="139"/>
      <c r="F26" s="137"/>
      <c r="G26" s="140"/>
      <c r="H26" s="141"/>
      <c r="I26" s="121"/>
      <c r="J26" s="121"/>
      <c r="K26" s="122"/>
      <c r="L26" s="123"/>
      <c r="M26" s="122"/>
      <c r="N26" s="12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303A-F553-41C1-B5F4-4E8A73A9D3EA}">
  <dimension ref="A1:W52"/>
  <sheetViews>
    <sheetView rightToLeft="1" topLeftCell="C1" workbookViewId="0">
      <selection activeCell="M14" sqref="M14"/>
    </sheetView>
  </sheetViews>
  <sheetFormatPr defaultRowHeight="13.8" x14ac:dyDescent="0.25"/>
  <cols>
    <col min="1" max="2" width="0" style="94" hidden="1" customWidth="1"/>
    <col min="3" max="3" width="11.8984375" style="94" customWidth="1"/>
    <col min="4" max="4" width="13.3984375" style="94" customWidth="1"/>
    <col min="5" max="5" width="14.09765625" style="94" customWidth="1"/>
    <col min="6" max="6" width="12.5" style="94" customWidth="1"/>
    <col min="7" max="7" width="9.5" style="94" bestFit="1" customWidth="1"/>
    <col min="8" max="8" width="16.3984375" style="94" customWidth="1"/>
    <col min="9" max="9" width="8.796875" style="94"/>
    <col min="10" max="11" width="9.8984375" style="94" bestFit="1" customWidth="1"/>
    <col min="12" max="12" width="14.796875" style="94" bestFit="1" customWidth="1"/>
    <col min="13" max="13" width="27" style="94" customWidth="1"/>
    <col min="14" max="14" width="24.3984375" style="94" customWidth="1"/>
    <col min="15" max="15" width="16.796875" style="94" customWidth="1"/>
    <col min="16" max="16" width="21.19921875" style="94" customWidth="1"/>
    <col min="17" max="17" width="9.8984375" style="94" bestFit="1" customWidth="1"/>
    <col min="18" max="18" width="8.796875" style="94"/>
    <col min="19" max="19" width="28.59765625" style="94" bestFit="1" customWidth="1"/>
    <col min="20" max="20" width="8.59765625" style="94" bestFit="1" customWidth="1"/>
    <col min="21" max="16384" width="8.796875" style="94"/>
  </cols>
  <sheetData>
    <row r="1" spans="1:21" ht="31.2" x14ac:dyDescent="0.25">
      <c r="A1" s="92" t="s">
        <v>0</v>
      </c>
      <c r="B1" s="92" t="s">
        <v>1</v>
      </c>
      <c r="C1" s="104" t="s">
        <v>2</v>
      </c>
      <c r="D1" s="105" t="s">
        <v>3</v>
      </c>
      <c r="E1" s="93" t="s">
        <v>86</v>
      </c>
      <c r="F1" s="106" t="s">
        <v>5</v>
      </c>
      <c r="G1" s="93" t="s">
        <v>3</v>
      </c>
      <c r="H1" s="111" t="s">
        <v>90</v>
      </c>
      <c r="J1" s="108"/>
    </row>
    <row r="2" spans="1:21" ht="14.4" customHeight="1" x14ac:dyDescent="0.25">
      <c r="A2" s="95">
        <v>1855</v>
      </c>
      <c r="B2" s="95" t="s">
        <v>8</v>
      </c>
      <c r="C2" s="95" t="s">
        <v>9</v>
      </c>
      <c r="D2" s="96">
        <v>43723</v>
      </c>
      <c r="E2" s="293">
        <v>2500</v>
      </c>
      <c r="F2" s="95">
        <v>10</v>
      </c>
      <c r="G2" s="96">
        <v>43723</v>
      </c>
      <c r="H2" s="98" t="str">
        <f>TEXT(D2,"mmmm")</f>
        <v>ספטמבר</v>
      </c>
      <c r="J2" s="101"/>
    </row>
    <row r="3" spans="1:21" ht="14.4" customHeight="1" x14ac:dyDescent="0.25">
      <c r="A3" s="95">
        <v>1856</v>
      </c>
      <c r="B3" s="95" t="s">
        <v>10</v>
      </c>
      <c r="C3" s="95" t="s">
        <v>11</v>
      </c>
      <c r="D3" s="96">
        <v>42075</v>
      </c>
      <c r="E3" s="293">
        <v>146726</v>
      </c>
      <c r="F3" s="95">
        <v>13</v>
      </c>
      <c r="G3" s="96">
        <v>42075</v>
      </c>
      <c r="H3" s="98" t="str">
        <f t="shared" ref="H3:H26" si="0">TEXT(D3,"mmmm")</f>
        <v>מרץ</v>
      </c>
      <c r="J3" s="101"/>
    </row>
    <row r="4" spans="1:21" ht="15.6" x14ac:dyDescent="0.25">
      <c r="A4" s="95">
        <v>1857</v>
      </c>
      <c r="B4" s="95" t="s">
        <v>12</v>
      </c>
      <c r="C4" s="95" t="s">
        <v>9</v>
      </c>
      <c r="D4" s="96">
        <v>43007</v>
      </c>
      <c r="E4" s="293">
        <v>253094</v>
      </c>
      <c r="F4" s="95">
        <v>10</v>
      </c>
      <c r="G4" s="96">
        <v>43007</v>
      </c>
      <c r="H4" s="98" t="str">
        <f t="shared" si="0"/>
        <v>ספטמבר</v>
      </c>
      <c r="J4" s="101"/>
      <c r="N4" s="149"/>
      <c r="O4" s="149"/>
      <c r="P4" s="149"/>
      <c r="T4" s="99"/>
      <c r="U4" s="99"/>
    </row>
    <row r="5" spans="1:21" ht="15.6" x14ac:dyDescent="0.25">
      <c r="A5" s="95">
        <v>1858</v>
      </c>
      <c r="B5" s="95" t="s">
        <v>13</v>
      </c>
      <c r="C5" s="95" t="s">
        <v>9</v>
      </c>
      <c r="D5" s="96">
        <v>42367</v>
      </c>
      <c r="E5" s="293">
        <v>70131</v>
      </c>
      <c r="F5" s="95">
        <v>14</v>
      </c>
      <c r="G5" s="96">
        <v>42367</v>
      </c>
      <c r="H5" s="98" t="str">
        <f t="shared" si="0"/>
        <v>דצמבר</v>
      </c>
      <c r="J5" s="101"/>
      <c r="M5" s="149"/>
      <c r="N5" s="149"/>
      <c r="O5" s="149"/>
      <c r="P5" s="149"/>
      <c r="T5" s="99"/>
      <c r="U5" s="99"/>
    </row>
    <row r="6" spans="1:21" ht="17.399999999999999" x14ac:dyDescent="0.25">
      <c r="A6" s="95">
        <v>1859</v>
      </c>
      <c r="B6" s="95" t="s">
        <v>14</v>
      </c>
      <c r="C6" s="95" t="s">
        <v>9</v>
      </c>
      <c r="D6" s="96">
        <v>43866</v>
      </c>
      <c r="E6" s="293">
        <v>63372</v>
      </c>
      <c r="F6" s="95">
        <v>15</v>
      </c>
      <c r="G6" s="96">
        <v>43866</v>
      </c>
      <c r="H6" s="98" t="str">
        <f t="shared" si="0"/>
        <v>פברואר</v>
      </c>
      <c r="J6" s="101"/>
      <c r="M6" s="152"/>
      <c r="N6" s="153" t="s">
        <v>106</v>
      </c>
      <c r="O6" s="153"/>
      <c r="P6" s="153"/>
      <c r="T6" s="99"/>
      <c r="U6" s="99"/>
    </row>
    <row r="7" spans="1:21" ht="14.4" x14ac:dyDescent="0.25">
      <c r="A7" s="95">
        <v>1860</v>
      </c>
      <c r="B7" s="95" t="s">
        <v>13</v>
      </c>
      <c r="C7" s="95" t="s">
        <v>11</v>
      </c>
      <c r="D7" s="96">
        <v>43604</v>
      </c>
      <c r="E7" s="293">
        <v>72483</v>
      </c>
      <c r="F7" s="95">
        <v>15</v>
      </c>
      <c r="G7" s="96">
        <v>43604</v>
      </c>
      <c r="H7" s="98" t="str">
        <f t="shared" si="0"/>
        <v>מאי</v>
      </c>
      <c r="J7" s="101"/>
      <c r="M7" s="150"/>
      <c r="N7" s="150"/>
      <c r="T7" s="99"/>
      <c r="U7" s="99"/>
    </row>
    <row r="8" spans="1:21" ht="24.6" x14ac:dyDescent="0.25">
      <c r="A8" s="95">
        <v>1861</v>
      </c>
      <c r="B8" s="95" t="s">
        <v>15</v>
      </c>
      <c r="C8" s="95" t="s">
        <v>11</v>
      </c>
      <c r="D8" s="96">
        <v>42562</v>
      </c>
      <c r="E8" s="293">
        <v>108877</v>
      </c>
      <c r="F8" s="95">
        <v>13</v>
      </c>
      <c r="G8" s="96">
        <v>42562</v>
      </c>
      <c r="H8" s="98" t="str">
        <f t="shared" si="0"/>
        <v>יולי</v>
      </c>
      <c r="J8" s="101"/>
      <c r="M8" s="151"/>
      <c r="N8" s="151"/>
      <c r="T8" s="99"/>
      <c r="U8" s="99"/>
    </row>
    <row r="9" spans="1:21" ht="14.4" x14ac:dyDescent="0.25">
      <c r="A9" s="95">
        <v>1862</v>
      </c>
      <c r="B9" s="95" t="s">
        <v>16</v>
      </c>
      <c r="C9" s="95" t="s">
        <v>11</v>
      </c>
      <c r="D9" s="96">
        <v>44321</v>
      </c>
      <c r="E9" s="293">
        <v>96681</v>
      </c>
      <c r="F9" s="95">
        <v>10</v>
      </c>
      <c r="G9" s="96">
        <v>44321</v>
      </c>
      <c r="H9" s="98" t="str">
        <f t="shared" si="0"/>
        <v>מאי</v>
      </c>
      <c r="J9" s="101"/>
      <c r="M9" s="101"/>
      <c r="N9" s="292"/>
      <c r="T9" s="99"/>
      <c r="U9" s="99"/>
    </row>
    <row r="10" spans="1:21" ht="14.4" x14ac:dyDescent="0.25">
      <c r="A10" s="95">
        <v>1863</v>
      </c>
      <c r="B10" s="95" t="s">
        <v>17</v>
      </c>
      <c r="C10" s="95" t="s">
        <v>11</v>
      </c>
      <c r="D10" s="96">
        <v>43400</v>
      </c>
      <c r="E10" s="293">
        <v>66590</v>
      </c>
      <c r="F10" s="95">
        <v>15</v>
      </c>
      <c r="G10" s="96">
        <v>43400</v>
      </c>
      <c r="H10" s="98" t="str">
        <f t="shared" si="0"/>
        <v>אוקטובר</v>
      </c>
      <c r="J10" s="101"/>
      <c r="M10" s="101"/>
      <c r="N10" s="292"/>
      <c r="T10" s="99"/>
      <c r="U10" s="99"/>
    </row>
    <row r="11" spans="1:21" ht="14.4" x14ac:dyDescent="0.25">
      <c r="A11" s="95">
        <v>1864</v>
      </c>
      <c r="B11" s="95" t="s">
        <v>18</v>
      </c>
      <c r="C11" s="95" t="s">
        <v>19</v>
      </c>
      <c r="D11" s="96">
        <v>43977</v>
      </c>
      <c r="E11" s="293">
        <v>224708</v>
      </c>
      <c r="F11" s="95">
        <v>10</v>
      </c>
      <c r="G11" s="96">
        <v>43977</v>
      </c>
      <c r="H11" s="98" t="str">
        <f t="shared" si="0"/>
        <v>מאי</v>
      </c>
      <c r="J11" s="101"/>
      <c r="M11" s="101"/>
      <c r="N11" s="292"/>
      <c r="T11" s="99"/>
      <c r="U11" s="99"/>
    </row>
    <row r="12" spans="1:21" ht="14.4" x14ac:dyDescent="0.25">
      <c r="A12" s="95">
        <v>1865</v>
      </c>
      <c r="B12" s="95" t="s">
        <v>20</v>
      </c>
      <c r="C12" s="95" t="s">
        <v>9</v>
      </c>
      <c r="D12" s="96">
        <v>44029</v>
      </c>
      <c r="E12" s="293">
        <v>49492</v>
      </c>
      <c r="F12" s="95">
        <v>14</v>
      </c>
      <c r="G12" s="96">
        <v>44029</v>
      </c>
      <c r="H12" s="98" t="str">
        <f t="shared" si="0"/>
        <v>יולי</v>
      </c>
      <c r="J12" s="101"/>
      <c r="M12" s="101"/>
      <c r="N12" s="292"/>
    </row>
    <row r="13" spans="1:21" ht="14.4" x14ac:dyDescent="0.25">
      <c r="A13" s="95">
        <v>1866</v>
      </c>
      <c r="B13" s="95" t="s">
        <v>21</v>
      </c>
      <c r="C13" s="95" t="s">
        <v>9</v>
      </c>
      <c r="D13" s="96">
        <v>40661</v>
      </c>
      <c r="E13" s="293">
        <v>76982</v>
      </c>
      <c r="F13" s="95">
        <v>13</v>
      </c>
      <c r="G13" s="96">
        <v>40661</v>
      </c>
      <c r="H13" s="98" t="str">
        <f t="shared" si="0"/>
        <v>אפריל</v>
      </c>
      <c r="J13" s="101"/>
      <c r="M13" s="101"/>
      <c r="N13" s="292"/>
    </row>
    <row r="14" spans="1:21" ht="14.4" x14ac:dyDescent="0.25">
      <c r="A14" s="95">
        <v>1867</v>
      </c>
      <c r="B14" s="95" t="s">
        <v>22</v>
      </c>
      <c r="C14" s="95" t="s">
        <v>19</v>
      </c>
      <c r="D14" s="96">
        <v>40434</v>
      </c>
      <c r="E14" s="293">
        <v>184883</v>
      </c>
      <c r="F14" s="95">
        <v>10</v>
      </c>
      <c r="G14" s="96">
        <v>40434</v>
      </c>
      <c r="H14" s="98" t="str">
        <f t="shared" si="0"/>
        <v>ספטמבר</v>
      </c>
      <c r="J14" s="101"/>
      <c r="M14" s="101"/>
      <c r="N14" s="292"/>
    </row>
    <row r="15" spans="1:21" ht="14.4" x14ac:dyDescent="0.25">
      <c r="A15" s="95">
        <v>1868</v>
      </c>
      <c r="B15" s="95" t="s">
        <v>23</v>
      </c>
      <c r="C15" s="95" t="s">
        <v>19</v>
      </c>
      <c r="D15" s="96">
        <v>41924</v>
      </c>
      <c r="E15" s="293">
        <v>8780</v>
      </c>
      <c r="F15" s="95">
        <v>10</v>
      </c>
      <c r="G15" s="96">
        <v>41924</v>
      </c>
      <c r="H15" s="98" t="str">
        <f t="shared" si="0"/>
        <v>אוקטובר</v>
      </c>
      <c r="J15" s="101"/>
      <c r="M15" s="101"/>
      <c r="N15" s="292"/>
    </row>
    <row r="16" spans="1:21" ht="14.4" x14ac:dyDescent="0.25">
      <c r="A16" s="95">
        <v>1869</v>
      </c>
      <c r="B16" s="95" t="s">
        <v>24</v>
      </c>
      <c r="C16" s="95" t="s">
        <v>9</v>
      </c>
      <c r="D16" s="96">
        <v>41231</v>
      </c>
      <c r="E16" s="293">
        <v>46900</v>
      </c>
      <c r="F16" s="95">
        <v>14</v>
      </c>
      <c r="G16" s="96">
        <v>41231</v>
      </c>
      <c r="H16" s="98" t="str">
        <f t="shared" si="0"/>
        <v>נובמבר</v>
      </c>
      <c r="J16" s="101"/>
      <c r="M16" s="101"/>
      <c r="N16" s="292"/>
    </row>
    <row r="17" spans="1:23" ht="14.4" x14ac:dyDescent="0.25">
      <c r="A17" s="95">
        <v>1870</v>
      </c>
      <c r="B17" s="95" t="s">
        <v>25</v>
      </c>
      <c r="C17" s="95" t="s">
        <v>9</v>
      </c>
      <c r="D17" s="96">
        <v>41419</v>
      </c>
      <c r="E17" s="293">
        <v>162174</v>
      </c>
      <c r="F17" s="95">
        <v>14</v>
      </c>
      <c r="G17" s="96">
        <v>41419</v>
      </c>
      <c r="H17" s="98" t="str">
        <f t="shared" si="0"/>
        <v>מאי</v>
      </c>
      <c r="J17" s="101"/>
      <c r="M17" s="101"/>
      <c r="N17" s="292"/>
    </row>
    <row r="18" spans="1:23" ht="14.4" x14ac:dyDescent="0.25">
      <c r="A18" s="95">
        <v>1871</v>
      </c>
      <c r="B18" s="95" t="s">
        <v>20</v>
      </c>
      <c r="C18" s="95" t="s">
        <v>9</v>
      </c>
      <c r="D18" s="96">
        <v>41617</v>
      </c>
      <c r="E18" s="293">
        <v>10321</v>
      </c>
      <c r="F18" s="95">
        <v>14</v>
      </c>
      <c r="G18" s="96">
        <v>41617</v>
      </c>
      <c r="H18" s="98" t="str">
        <f t="shared" si="0"/>
        <v>דצמבר</v>
      </c>
      <c r="J18" s="101"/>
      <c r="M18" s="101"/>
      <c r="N18" s="292"/>
    </row>
    <row r="19" spans="1:23" ht="14.4" x14ac:dyDescent="0.25">
      <c r="A19" s="95">
        <v>1872</v>
      </c>
      <c r="B19" s="95" t="s">
        <v>26</v>
      </c>
      <c r="C19" s="95" t="s">
        <v>9</v>
      </c>
      <c r="D19" s="96">
        <v>43638</v>
      </c>
      <c r="E19" s="293">
        <v>56091</v>
      </c>
      <c r="F19" s="95">
        <v>15</v>
      </c>
      <c r="G19" s="96">
        <v>43638</v>
      </c>
      <c r="H19" s="98" t="str">
        <f t="shared" si="0"/>
        <v>יוני</v>
      </c>
      <c r="J19" s="101"/>
      <c r="M19" s="101"/>
      <c r="N19" s="292"/>
    </row>
    <row r="20" spans="1:23" ht="14.4" x14ac:dyDescent="0.25">
      <c r="A20" s="95">
        <v>1873</v>
      </c>
      <c r="B20" s="95" t="s">
        <v>27</v>
      </c>
      <c r="C20" s="95" t="s">
        <v>11</v>
      </c>
      <c r="D20" s="96">
        <v>43291</v>
      </c>
      <c r="E20" s="293">
        <v>12866</v>
      </c>
      <c r="F20" s="95">
        <v>10</v>
      </c>
      <c r="G20" s="96">
        <v>43291</v>
      </c>
      <c r="H20" s="98" t="str">
        <f t="shared" si="0"/>
        <v>יולי</v>
      </c>
      <c r="J20" s="101"/>
      <c r="M20"/>
    </row>
    <row r="21" spans="1:23" ht="14.4" x14ac:dyDescent="0.25">
      <c r="A21" s="95">
        <v>1874</v>
      </c>
      <c r="B21" s="95" t="s">
        <v>28</v>
      </c>
      <c r="C21" s="95" t="s">
        <v>11</v>
      </c>
      <c r="D21" s="96">
        <v>43282</v>
      </c>
      <c r="E21" s="293">
        <v>71270</v>
      </c>
      <c r="F21" s="95">
        <v>13</v>
      </c>
      <c r="G21" s="96">
        <v>43282</v>
      </c>
      <c r="H21" s="98" t="str">
        <f t="shared" si="0"/>
        <v>יולי</v>
      </c>
      <c r="J21" s="101"/>
      <c r="M21"/>
    </row>
    <row r="22" spans="1:23" ht="14.4" x14ac:dyDescent="0.25">
      <c r="A22" s="95">
        <v>1875</v>
      </c>
      <c r="B22" s="95" t="s">
        <v>29</v>
      </c>
      <c r="C22" s="95" t="s">
        <v>11</v>
      </c>
      <c r="D22" s="96">
        <v>43497</v>
      </c>
      <c r="E22" s="293">
        <v>10129</v>
      </c>
      <c r="F22" s="95">
        <v>14</v>
      </c>
      <c r="G22" s="96">
        <v>43497</v>
      </c>
      <c r="H22" s="98" t="str">
        <f t="shared" si="0"/>
        <v>פברואר</v>
      </c>
      <c r="J22" s="101"/>
      <c r="M22"/>
    </row>
    <row r="23" spans="1:23" ht="20.399999999999999" x14ac:dyDescent="0.25">
      <c r="A23" s="95">
        <v>1876</v>
      </c>
      <c r="B23" s="95" t="s">
        <v>30</v>
      </c>
      <c r="C23" s="95" t="s">
        <v>19</v>
      </c>
      <c r="D23" s="96">
        <v>42752</v>
      </c>
      <c r="E23" s="293">
        <v>143689</v>
      </c>
      <c r="F23" s="95">
        <v>13</v>
      </c>
      <c r="G23" s="96">
        <v>42752</v>
      </c>
      <c r="H23" s="98" t="str">
        <f t="shared" si="0"/>
        <v>ינואר</v>
      </c>
      <c r="J23" s="101"/>
      <c r="K23" s="98"/>
      <c r="L23" s="109"/>
      <c r="M23"/>
      <c r="R23" s="109"/>
      <c r="S23" s="109"/>
      <c r="T23" s="100"/>
      <c r="U23" s="103"/>
      <c r="V23" s="103"/>
      <c r="W23" s="103"/>
    </row>
    <row r="24" spans="1:23" ht="20.399999999999999" x14ac:dyDescent="0.25">
      <c r="A24" s="95">
        <v>1877</v>
      </c>
      <c r="B24" s="95" t="s">
        <v>31</v>
      </c>
      <c r="C24" s="95" t="s">
        <v>19</v>
      </c>
      <c r="D24" s="96">
        <v>43140</v>
      </c>
      <c r="E24" s="293">
        <v>25719</v>
      </c>
      <c r="F24" s="95">
        <v>12</v>
      </c>
      <c r="G24" s="96">
        <v>43140</v>
      </c>
      <c r="H24" s="98" t="str">
        <f t="shared" si="0"/>
        <v>פברואר</v>
      </c>
      <c r="J24" s="101"/>
      <c r="K24" s="98"/>
      <c r="L24" s="100"/>
      <c r="M24" s="100"/>
      <c r="N24" s="100"/>
      <c r="O24"/>
      <c r="P24" s="100"/>
      <c r="Q24" s="100"/>
      <c r="R24" s="100"/>
      <c r="U24" s="100"/>
      <c r="V24" s="100"/>
    </row>
    <row r="25" spans="1:23" ht="20.399999999999999" x14ac:dyDescent="0.25">
      <c r="A25" s="95">
        <v>1878</v>
      </c>
      <c r="B25" s="95" t="s">
        <v>32</v>
      </c>
      <c r="C25" s="95" t="s">
        <v>9</v>
      </c>
      <c r="D25" s="96">
        <v>42629</v>
      </c>
      <c r="E25" s="293">
        <v>215746</v>
      </c>
      <c r="F25" s="95">
        <v>14</v>
      </c>
      <c r="G25" s="96">
        <v>42629</v>
      </c>
      <c r="H25" s="98" t="str">
        <f t="shared" si="0"/>
        <v>ספטמבר</v>
      </c>
      <c r="J25" s="101"/>
      <c r="K25" s="98"/>
      <c r="L25" s="100"/>
      <c r="M25" s="100"/>
      <c r="N25" s="100"/>
      <c r="O25"/>
      <c r="P25" s="100"/>
      <c r="Q25" s="100"/>
      <c r="R25" s="100"/>
      <c r="T25" s="100"/>
      <c r="U25" s="100"/>
      <c r="V25" s="100"/>
      <c r="W25" s="100"/>
    </row>
    <row r="26" spans="1:23" ht="14.4" x14ac:dyDescent="0.25">
      <c r="A26" s="95">
        <v>1879</v>
      </c>
      <c r="B26" s="95" t="s">
        <v>33</v>
      </c>
      <c r="C26" s="95" t="s">
        <v>19</v>
      </c>
      <c r="D26" s="96">
        <v>40875</v>
      </c>
      <c r="E26" s="293">
        <v>131191</v>
      </c>
      <c r="F26" s="95">
        <v>10</v>
      </c>
      <c r="G26" s="96">
        <v>40875</v>
      </c>
      <c r="H26" s="98" t="str">
        <f t="shared" si="0"/>
        <v>נובמבר</v>
      </c>
      <c r="J26" s="101"/>
      <c r="K26" s="98"/>
      <c r="O26"/>
    </row>
    <row r="27" spans="1:23" x14ac:dyDescent="0.25">
      <c r="K27" s="98"/>
      <c r="L27" s="110"/>
      <c r="M27" s="110"/>
      <c r="N27" s="110"/>
      <c r="O27"/>
      <c r="P27" s="110"/>
      <c r="Q27" s="110"/>
      <c r="R27" s="110"/>
      <c r="S27" s="110"/>
    </row>
    <row r="28" spans="1:23" ht="20.399999999999999" x14ac:dyDescent="0.25">
      <c r="J28" s="100"/>
      <c r="K28" s="98"/>
      <c r="L28" s="100"/>
      <c r="M28" s="100"/>
      <c r="N28" s="100"/>
      <c r="O28"/>
      <c r="P28" s="100"/>
      <c r="Q28" s="100"/>
      <c r="R28" s="100"/>
      <c r="S28" s="100"/>
      <c r="T28" s="100"/>
      <c r="U28" s="100"/>
      <c r="V28" s="100"/>
      <c r="W28" s="100"/>
    </row>
    <row r="29" spans="1:23" ht="20.399999999999999" customHeight="1" x14ac:dyDescent="0.25">
      <c r="J29" s="100"/>
      <c r="K29" s="98"/>
      <c r="L29" s="100"/>
      <c r="M29" s="100"/>
      <c r="N29" s="100"/>
      <c r="O29"/>
      <c r="P29" s="100"/>
      <c r="Q29" s="100"/>
      <c r="R29" s="100"/>
      <c r="T29" s="100"/>
      <c r="U29" s="100"/>
      <c r="V29" s="100"/>
    </row>
    <row r="30" spans="1:23" ht="20.399999999999999" x14ac:dyDescent="0.25">
      <c r="J30" s="100"/>
      <c r="K30" s="98"/>
      <c r="L30" s="148"/>
      <c r="M30" s="148"/>
      <c r="N30" s="148"/>
      <c r="O30"/>
      <c r="P30" s="148"/>
      <c r="Q30" s="148"/>
      <c r="R30" s="148"/>
      <c r="S30" s="148"/>
      <c r="T30" s="100"/>
      <c r="U30" s="100"/>
      <c r="V30" s="100"/>
    </row>
    <row r="31" spans="1:23" x14ac:dyDescent="0.25">
      <c r="K31" s="98"/>
      <c r="O31"/>
    </row>
    <row r="32" spans="1:23" ht="20.399999999999999" x14ac:dyDescent="0.25">
      <c r="K32" s="98"/>
      <c r="Q32" s="100"/>
      <c r="R32" s="100"/>
      <c r="S32" s="100"/>
      <c r="T32" s="100"/>
    </row>
    <row r="33" spans="10:22" ht="20.399999999999999" x14ac:dyDescent="0.25">
      <c r="J33" s="100"/>
      <c r="K33" s="98"/>
      <c r="L33" s="100"/>
      <c r="M33" s="100"/>
      <c r="N33" s="100"/>
      <c r="O33" s="100"/>
      <c r="P33" s="100"/>
      <c r="Q33" s="100"/>
      <c r="R33" s="100"/>
      <c r="S33" s="100"/>
      <c r="T33" s="100"/>
      <c r="U33" s="100"/>
      <c r="V33" s="100"/>
    </row>
    <row r="34" spans="10:22" ht="20.399999999999999" x14ac:dyDescent="0.25">
      <c r="J34" s="100"/>
      <c r="K34" s="100"/>
      <c r="L34" s="100"/>
      <c r="M34" s="100"/>
      <c r="N34" s="102"/>
      <c r="O34" s="100"/>
      <c r="P34" s="100"/>
      <c r="Q34" s="100"/>
      <c r="R34" s="100"/>
      <c r="S34" s="100"/>
      <c r="T34" s="100"/>
      <c r="U34" s="100"/>
      <c r="V34" s="100"/>
    </row>
    <row r="38" spans="10:22" ht="20.399999999999999" x14ac:dyDescent="0.25">
      <c r="J38" s="100"/>
      <c r="K38" s="100"/>
      <c r="L38" s="100"/>
      <c r="M38" s="100"/>
      <c r="N38" s="102"/>
      <c r="O38" s="100"/>
      <c r="P38" s="100"/>
      <c r="Q38" s="100"/>
      <c r="R38" s="100"/>
      <c r="S38" s="100"/>
      <c r="T38" s="100"/>
      <c r="U38" s="100"/>
      <c r="V38" s="100"/>
    </row>
    <row r="39" spans="10:22" ht="20.399999999999999" x14ac:dyDescent="0.25">
      <c r="J39" s="100"/>
      <c r="K39" s="100"/>
      <c r="L39" s="100"/>
      <c r="M39" s="100"/>
      <c r="N39" s="100"/>
      <c r="O39" s="100"/>
      <c r="P39" s="100"/>
      <c r="Q39" s="100"/>
      <c r="R39" s="100"/>
      <c r="S39" s="100"/>
      <c r="T39" s="100"/>
      <c r="U39" s="100"/>
      <c r="V39" s="100"/>
    </row>
    <row r="40" spans="10:22" ht="20.399999999999999" x14ac:dyDescent="0.25">
      <c r="J40" s="100"/>
      <c r="K40" s="100"/>
      <c r="L40" s="100"/>
      <c r="M40" s="100"/>
      <c r="N40" s="100"/>
      <c r="O40" s="107"/>
      <c r="P40" s="100"/>
      <c r="Q40" s="100"/>
      <c r="R40" s="100"/>
      <c r="S40" s="100"/>
      <c r="T40" s="100"/>
      <c r="U40" s="100"/>
      <c r="V40" s="100"/>
    </row>
    <row r="41" spans="10:22" ht="20.399999999999999" x14ac:dyDescent="0.25">
      <c r="J41" s="100"/>
      <c r="K41" s="100"/>
      <c r="L41" s="100"/>
      <c r="M41" s="100"/>
      <c r="N41" s="100"/>
      <c r="O41" s="100"/>
      <c r="P41" s="100"/>
      <c r="Q41" s="100"/>
      <c r="R41" s="100"/>
      <c r="S41" s="100"/>
      <c r="T41" s="100"/>
      <c r="U41" s="100"/>
      <c r="V41" s="100"/>
    </row>
    <row r="42" spans="10:22" ht="20.399999999999999" x14ac:dyDescent="0.25">
      <c r="J42" s="100"/>
      <c r="K42" s="100"/>
      <c r="L42" s="100"/>
      <c r="M42" s="100"/>
      <c r="N42" s="100"/>
      <c r="O42" s="100"/>
      <c r="P42" s="100"/>
      <c r="Q42" s="100"/>
      <c r="R42" s="100"/>
      <c r="S42" s="100"/>
    </row>
    <row r="43" spans="10:22" ht="20.399999999999999" x14ac:dyDescent="0.25">
      <c r="J43" s="100"/>
      <c r="K43" s="100"/>
      <c r="L43" s="107"/>
      <c r="M43" s="100"/>
      <c r="N43" s="100"/>
      <c r="O43" s="100"/>
      <c r="P43" s="100"/>
      <c r="Q43" s="100"/>
      <c r="R43" s="100"/>
      <c r="S43" s="100"/>
    </row>
    <row r="44" spans="10:22" ht="20.399999999999999" x14ac:dyDescent="0.25">
      <c r="J44" s="100"/>
      <c r="K44" s="100"/>
      <c r="L44" s="100"/>
      <c r="M44" s="100"/>
      <c r="N44" s="100"/>
      <c r="O44" s="100"/>
      <c r="P44" s="100"/>
      <c r="Q44" s="100"/>
      <c r="R44" s="100"/>
      <c r="S44" s="100"/>
    </row>
    <row r="45" spans="10:22" ht="20.399999999999999" x14ac:dyDescent="0.25">
      <c r="J45" s="100"/>
      <c r="K45" s="100"/>
      <c r="L45" s="100"/>
      <c r="M45" s="100"/>
      <c r="N45" s="100"/>
      <c r="O45" s="100"/>
      <c r="P45" s="100"/>
      <c r="Q45" s="100"/>
      <c r="R45" s="100"/>
      <c r="S45" s="100"/>
    </row>
    <row r="46" spans="10:22" ht="20.399999999999999" x14ac:dyDescent="0.25">
      <c r="J46" s="100"/>
      <c r="K46" s="100"/>
      <c r="L46" s="100"/>
      <c r="M46" s="100"/>
      <c r="N46" s="100"/>
      <c r="O46" s="107"/>
      <c r="P46" s="100"/>
      <c r="Q46" s="100"/>
      <c r="R46" s="100"/>
      <c r="S46" s="100"/>
    </row>
    <row r="47" spans="10:22" ht="20.399999999999999" x14ac:dyDescent="0.25">
      <c r="N47" s="100"/>
    </row>
    <row r="48" spans="10:22" ht="20.399999999999999" x14ac:dyDescent="0.25">
      <c r="N48" s="100"/>
      <c r="Q48" s="98"/>
    </row>
    <row r="49" spans="14:14" ht="20.399999999999999" x14ac:dyDescent="0.25">
      <c r="N49" s="100"/>
    </row>
    <row r="50" spans="14:14" ht="20.399999999999999" x14ac:dyDescent="0.25">
      <c r="N50" s="100"/>
    </row>
    <row r="51" spans="14:14" ht="20.399999999999999" x14ac:dyDescent="0.25">
      <c r="N51" s="100"/>
    </row>
    <row r="52" spans="14:14" ht="20.399999999999999" x14ac:dyDescent="0.25">
      <c r="N52" s="10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DCC0-A189-4A02-A6DF-13A27018BFEA}">
  <sheetPr>
    <tabColor rgb="FFFF99FF"/>
  </sheetPr>
  <dimension ref="A1:T61"/>
  <sheetViews>
    <sheetView rightToLeft="1" topLeftCell="H1" workbookViewId="0">
      <selection activeCell="Q35" sqref="Q35"/>
    </sheetView>
  </sheetViews>
  <sheetFormatPr defaultColWidth="8.69921875" defaultRowHeight="15.6" x14ac:dyDescent="0.25"/>
  <cols>
    <col min="1" max="1" width="11.09765625" style="45" customWidth="1"/>
    <col min="2" max="2" width="14.8984375" style="45" customWidth="1"/>
    <col min="3" max="3" width="15.3984375" style="45" customWidth="1"/>
    <col min="4" max="4" width="13.19921875" style="45" customWidth="1"/>
    <col min="5" max="5" width="18.59765625" style="45" customWidth="1"/>
    <col min="6" max="6" width="19" style="45" hidden="1" customWidth="1"/>
    <col min="7" max="7" width="8.69921875" style="28" hidden="1" customWidth="1"/>
    <col min="8" max="8" width="12.19921875" style="28" customWidth="1"/>
    <col min="9" max="9" width="17.296875" style="28" customWidth="1"/>
    <col min="10" max="10" width="18.3984375" style="28" customWidth="1"/>
    <col min="11" max="11" width="9.09765625" style="28" hidden="1" customWidth="1"/>
    <col min="12" max="12" width="11" style="28" hidden="1" customWidth="1"/>
    <col min="13" max="13" width="14.8984375" style="28" customWidth="1"/>
    <col min="14" max="14" width="14.09765625" style="28" customWidth="1"/>
    <col min="15" max="15" width="11.5" style="28" bestFit="1" customWidth="1"/>
    <col min="16" max="16" width="16.8984375" style="28" bestFit="1" customWidth="1"/>
    <col min="17" max="17" width="14.69921875" style="28" customWidth="1"/>
    <col min="18" max="18" width="74.69921875" style="28" customWidth="1"/>
    <col min="19" max="19" width="16.3984375" style="28" customWidth="1"/>
    <col min="20" max="20" width="29.59765625" style="28" customWidth="1"/>
    <col min="21" max="16384" width="8.69921875" style="28"/>
  </cols>
  <sheetData>
    <row r="1" spans="1:20" ht="31.2" x14ac:dyDescent="0.25">
      <c r="A1" s="193" t="s">
        <v>107</v>
      </c>
      <c r="B1" s="154" t="s">
        <v>36</v>
      </c>
      <c r="C1" s="193" t="s">
        <v>52</v>
      </c>
      <c r="D1" s="155" t="s">
        <v>109</v>
      </c>
      <c r="E1" s="156" t="s">
        <v>110</v>
      </c>
      <c r="F1" s="154" t="s">
        <v>37</v>
      </c>
      <c r="G1" s="155" t="s">
        <v>111</v>
      </c>
      <c r="H1" s="157" t="s">
        <v>112</v>
      </c>
      <c r="I1" s="158" t="s">
        <v>113</v>
      </c>
      <c r="J1" s="159" t="s">
        <v>38</v>
      </c>
      <c r="K1" s="159" t="s">
        <v>114</v>
      </c>
      <c r="L1" s="159" t="s">
        <v>115</v>
      </c>
      <c r="M1" s="158" t="s">
        <v>206</v>
      </c>
      <c r="N1" s="159" t="s">
        <v>116</v>
      </c>
      <c r="P1" s="71"/>
      <c r="Q1" s="71"/>
      <c r="R1" s="30"/>
    </row>
    <row r="2" spans="1:20" x14ac:dyDescent="0.25">
      <c r="A2" s="35" t="s">
        <v>122</v>
      </c>
      <c r="B2" s="36">
        <v>44201</v>
      </c>
      <c r="C2" s="35" t="s">
        <v>8</v>
      </c>
      <c r="D2" s="35" t="s">
        <v>123</v>
      </c>
      <c r="E2" s="35" t="s">
        <v>64</v>
      </c>
      <c r="F2" s="35" t="s">
        <v>40</v>
      </c>
      <c r="G2" s="162" t="s">
        <v>124</v>
      </c>
      <c r="H2" s="163">
        <v>0.03</v>
      </c>
      <c r="I2" s="37">
        <v>102356</v>
      </c>
      <c r="J2" s="37">
        <f ca="1">(YEAR(TODAY())-YEAR(B2))*VLOOKUP(F2,'[4]נתונים נוספים'!$A$3:$C$9,3,FALSE)+VLOOKUP(F2,'[4]נתונים נוספים'!$A$3:$C$9,2,FALSE)</f>
        <v>24500</v>
      </c>
      <c r="K2" s="44" t="str">
        <f t="shared" ref="K2:K28" si="0">IF(MONTH(B2)&lt;=$H$58,$I$58,IF(MONTH(B2)&lt;=$H$59,$I$59,IF(MONTH(B2)&lt;=$H$60,$I$60,$I$61)))</f>
        <v>רבעון 1</v>
      </c>
      <c r="L2" s="44" t="str">
        <f>VLOOKUP(K2,'[4]נתונים נוספים'!$A$14:$M$17,VLOOKUP(E2,'[4]נתונים נוספים'!$Q$8:$R$19,2,FALSE),FALSE)</f>
        <v>מוצר חינם</v>
      </c>
      <c r="M2" s="40">
        <f t="shared" ref="M2:M27" si="1">IF(K2=$J$48,DATE(YEAR(B2)+$K$48,MONTH(B2),DAY(B2)),IF(OR(YEAR(B2)=$J$49,YEAR(B2)=$J$50),DATE(YEAR(B2)+$K$49,MONTH(B2),DAY(B2)+$L$49),DATE(YEAR($J$51)+$K$51,MONTH($J$51),DAY($J$51))))</f>
        <v>46397</v>
      </c>
      <c r="N2" s="44">
        <f t="shared" ref="N2:N28" si="2">IF(WEEKDAY(M2)=$J$52,$K$52,WEEKDAY(M2))</f>
        <v>1</v>
      </c>
      <c r="O2" s="164"/>
      <c r="P2" s="30"/>
      <c r="Q2" s="30"/>
      <c r="R2" s="30"/>
      <c r="T2" s="30"/>
    </row>
    <row r="3" spans="1:20" x14ac:dyDescent="0.25">
      <c r="A3" s="35" t="s">
        <v>125</v>
      </c>
      <c r="B3" s="36">
        <v>44207</v>
      </c>
      <c r="C3" s="35" t="s">
        <v>10</v>
      </c>
      <c r="D3" s="35" t="s">
        <v>126</v>
      </c>
      <c r="E3" s="35" t="s">
        <v>65</v>
      </c>
      <c r="F3" s="35" t="s">
        <v>41</v>
      </c>
      <c r="G3" s="162" t="s">
        <v>127</v>
      </c>
      <c r="H3" s="163">
        <v>0.01</v>
      </c>
      <c r="I3" s="37">
        <v>256968</v>
      </c>
      <c r="J3" s="37">
        <f ca="1">(YEAR(TODAY())-YEAR(B3))*VLOOKUP(F3,'[4]נתונים נוספים'!$A$3:$C$9,3,FALSE)+VLOOKUP(F3,'[4]נתונים נוספים'!$A$3:$C$9,2,FALSE)</f>
        <v>26500</v>
      </c>
      <c r="K3" s="44" t="str">
        <f t="shared" si="0"/>
        <v>רבעון 1</v>
      </c>
      <c r="L3" s="44" t="str">
        <f>VLOOKUP(K3,'[4]נתונים נוספים'!$A$14:$M$17,VLOOKUP(E3,'[4]נתונים נוספים'!$Q$8:$R$19,2,FALSE),FALSE)</f>
        <v>זיכוי ברכישה הבאה</v>
      </c>
      <c r="M3" s="40">
        <f t="shared" si="1"/>
        <v>46403</v>
      </c>
      <c r="N3" s="44" t="str">
        <f t="shared" si="2"/>
        <v>ייקבע מועד אחר</v>
      </c>
    </row>
    <row r="4" spans="1:20" x14ac:dyDescent="0.25">
      <c r="A4" s="35" t="s">
        <v>128</v>
      </c>
      <c r="B4" s="36">
        <v>43113</v>
      </c>
      <c r="C4" s="35" t="s">
        <v>12</v>
      </c>
      <c r="D4" s="35" t="s">
        <v>129</v>
      </c>
      <c r="E4" s="35" t="s">
        <v>66</v>
      </c>
      <c r="F4" s="35" t="s">
        <v>42</v>
      </c>
      <c r="G4" s="162" t="s">
        <v>124</v>
      </c>
      <c r="H4" s="163">
        <v>0.05</v>
      </c>
      <c r="I4" s="37">
        <v>110875</v>
      </c>
      <c r="J4" s="37">
        <f ca="1">(YEAR(TODAY())-YEAR(B4))*VLOOKUP(F4,'[4]נתונים נוספים'!$A$3:$C$9,3,FALSE)+VLOOKUP(F4,'[4]נתונים נוספים'!$A$3:$C$9,2,FALSE)</f>
        <v>19000</v>
      </c>
      <c r="K4" s="44" t="str">
        <f t="shared" si="0"/>
        <v>רבעון 1</v>
      </c>
      <c r="L4" s="44" t="str">
        <f>VLOOKUP(K4,'[4]נתונים נוספים'!$A$14:$M$17,VLOOKUP(E4,'[4]נתונים נוספים'!$Q$8:$R$19,2,FALSE),FALSE)</f>
        <v>אין הטבה</v>
      </c>
      <c r="M4" s="40">
        <f t="shared" si="1"/>
        <v>45347</v>
      </c>
      <c r="N4" s="44">
        <f t="shared" si="2"/>
        <v>1</v>
      </c>
    </row>
    <row r="5" spans="1:20" x14ac:dyDescent="0.25">
      <c r="A5" s="35" t="s">
        <v>130</v>
      </c>
      <c r="B5" s="36">
        <v>43125</v>
      </c>
      <c r="C5" s="35" t="s">
        <v>13</v>
      </c>
      <c r="D5" s="35" t="s">
        <v>131</v>
      </c>
      <c r="E5" s="35" t="s">
        <v>67</v>
      </c>
      <c r="F5" s="35" t="s">
        <v>43</v>
      </c>
      <c r="G5" s="162" t="s">
        <v>127</v>
      </c>
      <c r="H5" s="163">
        <v>0.01</v>
      </c>
      <c r="I5" s="37">
        <v>236000</v>
      </c>
      <c r="J5" s="37">
        <f ca="1">(YEAR(TODAY())-YEAR(B5))*VLOOKUP(F5,'[4]נתונים נוספים'!$A$3:$C$9,3,FALSE)+VLOOKUP(F5,'[4]נתונים נוספים'!$A$3:$C$9,2,FALSE)</f>
        <v>14500</v>
      </c>
      <c r="K5" s="44" t="str">
        <f t="shared" si="0"/>
        <v>רבעון 1</v>
      </c>
      <c r="L5" s="44" t="str">
        <f>VLOOKUP(K5,'[4]נתונים נוספים'!$A$14:$M$17,VLOOKUP(E5,'[4]נתונים נוספים'!$Q$8:$R$19,2,FALSE),FALSE)</f>
        <v>הנחה על הרכישה הבאה</v>
      </c>
      <c r="M5" s="40">
        <f t="shared" si="1"/>
        <v>45347</v>
      </c>
      <c r="N5" s="44">
        <f t="shared" si="2"/>
        <v>1</v>
      </c>
    </row>
    <row r="6" spans="1:20" x14ac:dyDescent="0.25">
      <c r="A6" s="35" t="s">
        <v>132</v>
      </c>
      <c r="B6" s="36">
        <v>43857</v>
      </c>
      <c r="C6" s="35" t="s">
        <v>14</v>
      </c>
      <c r="D6" s="35" t="s">
        <v>133</v>
      </c>
      <c r="E6" s="35" t="s">
        <v>68</v>
      </c>
      <c r="F6" s="35" t="s">
        <v>44</v>
      </c>
      <c r="G6" s="162" t="s">
        <v>124</v>
      </c>
      <c r="H6" s="163">
        <v>7.0000000000000007E-2</v>
      </c>
      <c r="I6" s="37">
        <v>100000</v>
      </c>
      <c r="J6" s="37">
        <f ca="1">(YEAR(TODAY())-YEAR(B6))*VLOOKUP(F6,'[4]נתונים נוספים'!$A$3:$C$9,3,FALSE)+VLOOKUP(F6,'[4]נתונים נוספים'!$A$3:$C$9,2,FALSE)</f>
        <v>13300</v>
      </c>
      <c r="K6" s="44" t="str">
        <f t="shared" si="0"/>
        <v>רבעון 1</v>
      </c>
      <c r="L6" s="44" t="str">
        <f>VLOOKUP(K6,'[4]נתונים נוספים'!$A$14:$M$17,VLOOKUP(E6,'[4]נתונים נוספים'!$Q$8:$R$19,2,FALSE),FALSE)</f>
        <v>זיכוי ברכישה הבאה</v>
      </c>
      <c r="M6" s="40">
        <f t="shared" si="1"/>
        <v>46054</v>
      </c>
      <c r="N6" s="44">
        <f t="shared" si="2"/>
        <v>1</v>
      </c>
    </row>
    <row r="7" spans="1:20" x14ac:dyDescent="0.25">
      <c r="A7" s="35" t="s">
        <v>134</v>
      </c>
      <c r="B7" s="36">
        <v>43865</v>
      </c>
      <c r="C7" s="35" t="s">
        <v>13</v>
      </c>
      <c r="D7" s="35" t="s">
        <v>135</v>
      </c>
      <c r="E7" s="35" t="s">
        <v>69</v>
      </c>
      <c r="F7" s="35" t="s">
        <v>45</v>
      </c>
      <c r="G7" s="162" t="s">
        <v>124</v>
      </c>
      <c r="H7" s="163">
        <v>7.0000000000000007E-2</v>
      </c>
      <c r="I7" s="37">
        <v>280756</v>
      </c>
      <c r="J7" s="37">
        <f ca="1">(YEAR(TODAY())-YEAR(B7))*VLOOKUP(F7,'[4]נתונים נוספים'!$A$3:$C$9,3,FALSE)+VLOOKUP(F7,'[4]נתונים נוספים'!$A$3:$C$9,2,FALSE)</f>
        <v>17400</v>
      </c>
      <c r="K7" s="44" t="str">
        <f t="shared" si="0"/>
        <v>רבעון 1</v>
      </c>
      <c r="L7" s="44" t="str">
        <f>VLOOKUP(K7,'[4]נתונים נוספים'!$A$14:$M$17,VLOOKUP(E7,'[4]נתונים נוספים'!$Q$8:$R$19,2,FALSE),FALSE)</f>
        <v>מוצר חינם</v>
      </c>
      <c r="M7" s="40">
        <f t="shared" si="1"/>
        <v>46062</v>
      </c>
      <c r="N7" s="44">
        <f t="shared" si="2"/>
        <v>2</v>
      </c>
    </row>
    <row r="8" spans="1:20" x14ac:dyDescent="0.25">
      <c r="A8" s="35" t="s">
        <v>136</v>
      </c>
      <c r="B8" s="36">
        <v>43509</v>
      </c>
      <c r="C8" s="35" t="s">
        <v>15</v>
      </c>
      <c r="D8" s="35" t="s">
        <v>137</v>
      </c>
      <c r="E8" s="35" t="s">
        <v>67</v>
      </c>
      <c r="F8" s="35" t="s">
        <v>46</v>
      </c>
      <c r="G8" s="162" t="s">
        <v>124</v>
      </c>
      <c r="H8" s="163">
        <v>0.1</v>
      </c>
      <c r="I8" s="37">
        <v>456890</v>
      </c>
      <c r="J8" s="37">
        <f ca="1">(YEAR(TODAY())-YEAR(B8))*VLOOKUP(F8,'[4]נתונים נוספים'!$A$3:$C$9,3,FALSE)+VLOOKUP(F8,'[4]נתונים נוספים'!$A$3:$C$9,2,FALSE)</f>
        <v>13050</v>
      </c>
      <c r="K8" s="44" t="str">
        <f t="shared" si="0"/>
        <v>רבעון 1</v>
      </c>
      <c r="L8" s="44" t="str">
        <f>VLOOKUP(K8,'[4]נתונים נוספים'!$A$14:$M$17,VLOOKUP(E8,'[4]נתונים נוספים'!$Q$8:$R$19,2,FALSE),FALSE)</f>
        <v>הנחה על הרכישה הבאה</v>
      </c>
      <c r="M8" s="40">
        <f t="shared" si="1"/>
        <v>45347</v>
      </c>
      <c r="N8" s="44">
        <f t="shared" si="2"/>
        <v>1</v>
      </c>
    </row>
    <row r="9" spans="1:20" x14ac:dyDescent="0.25">
      <c r="A9" s="35" t="s">
        <v>138</v>
      </c>
      <c r="B9" s="36">
        <v>43552</v>
      </c>
      <c r="C9" s="35" t="s">
        <v>16</v>
      </c>
      <c r="D9" s="35" t="s">
        <v>139</v>
      </c>
      <c r="E9" s="35" t="s">
        <v>70</v>
      </c>
      <c r="F9" s="35" t="s">
        <v>40</v>
      </c>
      <c r="G9" s="162" t="s">
        <v>140</v>
      </c>
      <c r="H9" s="163">
        <v>0.15</v>
      </c>
      <c r="I9" s="37">
        <v>98653</v>
      </c>
      <c r="J9" s="37">
        <f ca="1">(YEAR(TODAY())-YEAR(B9))*VLOOKUP(F9,'[4]נתונים נוספים'!$A$3:$C$9,3,FALSE)+VLOOKUP(F9,'[4]נתונים נוספים'!$A$3:$C$9,2,FALSE)</f>
        <v>25500</v>
      </c>
      <c r="K9" s="44" t="str">
        <f t="shared" si="0"/>
        <v>רבעון 1</v>
      </c>
      <c r="L9" s="44" t="str">
        <f>VLOOKUP(K9,'[4]נתונים נוספים'!$A$14:$M$17,VLOOKUP(E9,'[4]נתונים נוספים'!$Q$8:$R$19,2,FALSE),FALSE)</f>
        <v>זיכוי ברכישה הבאה</v>
      </c>
      <c r="M9" s="40">
        <f t="shared" si="1"/>
        <v>45347</v>
      </c>
      <c r="N9" s="44">
        <f t="shared" si="2"/>
        <v>1</v>
      </c>
    </row>
    <row r="10" spans="1:20" x14ac:dyDescent="0.25">
      <c r="A10" s="35" t="s">
        <v>141</v>
      </c>
      <c r="B10" s="36">
        <v>43558</v>
      </c>
      <c r="C10" s="35" t="s">
        <v>17</v>
      </c>
      <c r="D10" s="35" t="s">
        <v>142</v>
      </c>
      <c r="E10" s="35" t="s">
        <v>71</v>
      </c>
      <c r="F10" s="35" t="s">
        <v>41</v>
      </c>
      <c r="G10" s="162" t="s">
        <v>127</v>
      </c>
      <c r="H10" s="163">
        <v>0.01</v>
      </c>
      <c r="I10" s="37">
        <v>75000</v>
      </c>
      <c r="J10" s="37">
        <f ca="1">(YEAR(TODAY())-YEAR(B10))*VLOOKUP(F10,'[4]נתונים נוספים'!$A$3:$C$9,3,FALSE)+VLOOKUP(F10,'[4]נתונים נוספים'!$A$3:$C$9,2,FALSE)</f>
        <v>27100</v>
      </c>
      <c r="K10" s="44" t="str">
        <f t="shared" si="0"/>
        <v>רבעון 2</v>
      </c>
      <c r="L10" s="44" t="str">
        <f>VLOOKUP(K10,'[4]נתונים נוספים'!$A$14:$M$17,VLOOKUP(E10,'[4]נתונים נוספים'!$Q$8:$R$19,2,FALSE),FALSE)</f>
        <v>מוצר חינם</v>
      </c>
      <c r="M10" s="40">
        <f t="shared" si="1"/>
        <v>45385</v>
      </c>
      <c r="N10" s="44">
        <f t="shared" si="2"/>
        <v>4</v>
      </c>
    </row>
    <row r="11" spans="1:20" x14ac:dyDescent="0.25">
      <c r="A11" s="35" t="s">
        <v>143</v>
      </c>
      <c r="B11" s="36">
        <v>43207</v>
      </c>
      <c r="C11" s="35" t="s">
        <v>18</v>
      </c>
      <c r="D11" s="35" t="s">
        <v>144</v>
      </c>
      <c r="E11" s="35" t="s">
        <v>72</v>
      </c>
      <c r="F11" s="35" t="s">
        <v>42</v>
      </c>
      <c r="G11" s="162" t="s">
        <v>140</v>
      </c>
      <c r="H11" s="163">
        <v>0.12</v>
      </c>
      <c r="I11" s="37">
        <v>120332</v>
      </c>
      <c r="J11" s="37">
        <f ca="1">(YEAR(TODAY())-YEAR(B11))*VLOOKUP(F11,'[4]נתונים נוספים'!$A$3:$C$9,3,FALSE)+VLOOKUP(F11,'[4]נתונים נוספים'!$A$3:$C$9,2,FALSE)</f>
        <v>19000</v>
      </c>
      <c r="K11" s="44" t="str">
        <f t="shared" si="0"/>
        <v>רבעון 2</v>
      </c>
      <c r="L11" s="44" t="str">
        <f>VLOOKUP(K11,'[4]נתונים נוספים'!$A$14:$M$17,VLOOKUP(E11,'[4]נתונים נוספים'!$Q$8:$R$19,2,FALSE),FALSE)</f>
        <v>זיכוי ברכישה הבאה</v>
      </c>
      <c r="M11" s="40">
        <f t="shared" si="1"/>
        <v>45033</v>
      </c>
      <c r="N11" s="44">
        <f t="shared" si="2"/>
        <v>2</v>
      </c>
    </row>
    <row r="12" spans="1:20" x14ac:dyDescent="0.25">
      <c r="A12" s="35" t="s">
        <v>145</v>
      </c>
      <c r="B12" s="36">
        <v>43213</v>
      </c>
      <c r="C12" s="35" t="s">
        <v>20</v>
      </c>
      <c r="D12" s="35" t="s">
        <v>146</v>
      </c>
      <c r="E12" s="35" t="s">
        <v>68</v>
      </c>
      <c r="F12" s="35" t="s">
        <v>43</v>
      </c>
      <c r="G12" s="162" t="s">
        <v>124</v>
      </c>
      <c r="H12" s="163">
        <v>0.08</v>
      </c>
      <c r="I12" s="37">
        <v>140000</v>
      </c>
      <c r="J12" s="37">
        <f ca="1">(YEAR(TODAY())-YEAR(B12))*VLOOKUP(F12,'[4]נתונים נוספים'!$A$3:$C$9,3,FALSE)+VLOOKUP(F12,'[4]נתונים נוספים'!$A$3:$C$9,2,FALSE)</f>
        <v>14500</v>
      </c>
      <c r="K12" s="44" t="str">
        <f t="shared" si="0"/>
        <v>רבעון 2</v>
      </c>
      <c r="L12" s="44" t="str">
        <f>VLOOKUP(K12,'[4]נתונים נוספים'!$A$14:$M$17,VLOOKUP(E12,'[4]נתונים נוספים'!$Q$8:$R$19,2,FALSE),FALSE)</f>
        <v>אין הטבה</v>
      </c>
      <c r="M12" s="40">
        <f t="shared" si="1"/>
        <v>45039</v>
      </c>
      <c r="N12" s="44">
        <f t="shared" si="2"/>
        <v>1</v>
      </c>
    </row>
    <row r="13" spans="1:20" ht="16.2" thickBot="1" x14ac:dyDescent="0.3">
      <c r="A13" s="35" t="s">
        <v>147</v>
      </c>
      <c r="B13" s="36">
        <v>43216</v>
      </c>
      <c r="C13" s="35" t="s">
        <v>21</v>
      </c>
      <c r="D13" s="35" t="s">
        <v>148</v>
      </c>
      <c r="E13" s="35" t="s">
        <v>68</v>
      </c>
      <c r="F13" s="35" t="s">
        <v>44</v>
      </c>
      <c r="G13" s="162" t="s">
        <v>124</v>
      </c>
      <c r="H13" s="163">
        <v>0.06</v>
      </c>
      <c r="I13" s="37">
        <v>875875</v>
      </c>
      <c r="J13" s="37">
        <f ca="1">(YEAR(TODAY())-YEAR(B13))*VLOOKUP(F13,'[4]נתונים נוספים'!$A$3:$C$9,3,FALSE)+VLOOKUP(F13,'[4]נתונים נוספים'!$A$3:$C$9,2,FALSE)</f>
        <v>14400</v>
      </c>
      <c r="K13" s="44" t="str">
        <f t="shared" si="0"/>
        <v>רבעון 2</v>
      </c>
      <c r="L13" s="44" t="str">
        <f>VLOOKUP(K13,'[4]נתונים נוספים'!$A$14:$M$17,VLOOKUP(E13,'[4]נתונים נוספים'!$Q$8:$R$19,2,FALSE),FALSE)</f>
        <v>אין הטבה</v>
      </c>
      <c r="M13" s="40">
        <f t="shared" si="1"/>
        <v>45042</v>
      </c>
      <c r="N13" s="44">
        <f t="shared" si="2"/>
        <v>4</v>
      </c>
    </row>
    <row r="14" spans="1:20" ht="23.4" x14ac:dyDescent="0.25">
      <c r="A14" s="35" t="s">
        <v>149</v>
      </c>
      <c r="B14" s="36">
        <v>43221</v>
      </c>
      <c r="C14" s="35" t="s">
        <v>22</v>
      </c>
      <c r="D14" s="35" t="s">
        <v>150</v>
      </c>
      <c r="E14" s="35" t="s">
        <v>67</v>
      </c>
      <c r="F14" s="35" t="s">
        <v>45</v>
      </c>
      <c r="G14" s="162" t="s">
        <v>127</v>
      </c>
      <c r="H14" s="163">
        <v>0.01</v>
      </c>
      <c r="I14" s="37">
        <v>200000</v>
      </c>
      <c r="J14" s="37">
        <f ca="1">(YEAR(TODAY())-YEAR(B14))*VLOOKUP(F14,'[4]נתונים נוספים'!$A$3:$C$9,3,FALSE)+VLOOKUP(F14,'[4]נתונים נוספים'!$A$3:$C$9,2,FALSE)</f>
        <v>18200</v>
      </c>
      <c r="K14" s="44" t="str">
        <f t="shared" si="0"/>
        <v>רבעון 2</v>
      </c>
      <c r="L14" s="44" t="str">
        <f>VLOOKUP(K14,'[4]נתונים נוספים'!$A$14:$M$17,VLOOKUP(E14,'[4]נתונים נוספים'!$Q$8:$R$19,2,FALSE),FALSE)</f>
        <v>מוצר חינם</v>
      </c>
      <c r="M14" s="40">
        <f t="shared" si="1"/>
        <v>45047</v>
      </c>
      <c r="N14" s="44">
        <f t="shared" si="2"/>
        <v>2</v>
      </c>
      <c r="Q14" s="192"/>
      <c r="R14" s="184" t="s">
        <v>195</v>
      </c>
      <c r="S14" s="170"/>
    </row>
    <row r="15" spans="1:20" ht="18" x14ac:dyDescent="0.25">
      <c r="A15" s="35" t="s">
        <v>151</v>
      </c>
      <c r="B15" s="36">
        <v>43975</v>
      </c>
      <c r="C15" s="35" t="s">
        <v>23</v>
      </c>
      <c r="D15" s="35" t="s">
        <v>152</v>
      </c>
      <c r="E15" s="35" t="s">
        <v>64</v>
      </c>
      <c r="F15" s="35" t="s">
        <v>46</v>
      </c>
      <c r="G15" s="162" t="s">
        <v>124</v>
      </c>
      <c r="H15" s="163">
        <v>0.05</v>
      </c>
      <c r="I15" s="37">
        <v>360250</v>
      </c>
      <c r="J15" s="37">
        <f ca="1">(YEAR(TODAY())-YEAR(B15))*VLOOKUP(F15,'[4]נתונים נוספים'!$A$3:$C$9,3,FALSE)+VLOOKUP(F15,'[4]נתונים נוספים'!$A$3:$C$9,2,FALSE)</f>
        <v>12900</v>
      </c>
      <c r="K15" s="44" t="str">
        <f t="shared" si="0"/>
        <v>רבעון 2</v>
      </c>
      <c r="L15" s="44" t="str">
        <f>VLOOKUP(K15,'[4]נתונים נוספים'!$A$14:$M$17,VLOOKUP(E15,'[4]נתונים נוספים'!$Q$8:$R$19,2,FALSE),FALSE)</f>
        <v>הנחה על הרכישה הבאה</v>
      </c>
      <c r="M15" s="40">
        <f t="shared" si="1"/>
        <v>45801</v>
      </c>
      <c r="N15" s="44" t="str">
        <f t="shared" si="2"/>
        <v>ייקבע מועד אחר</v>
      </c>
      <c r="Q15" s="176">
        <v>1</v>
      </c>
      <c r="R15" s="177" t="s">
        <v>207</v>
      </c>
      <c r="S15" s="178"/>
    </row>
    <row r="16" spans="1:20" ht="18" x14ac:dyDescent="0.25">
      <c r="A16" s="35" t="s">
        <v>153</v>
      </c>
      <c r="B16" s="36">
        <v>43990</v>
      </c>
      <c r="C16" s="35" t="s">
        <v>24</v>
      </c>
      <c r="D16" s="35" t="s">
        <v>154</v>
      </c>
      <c r="E16" s="35" t="s">
        <v>72</v>
      </c>
      <c r="F16" s="35" t="s">
        <v>40</v>
      </c>
      <c r="G16" s="162" t="s">
        <v>124</v>
      </c>
      <c r="H16" s="163">
        <v>0.05</v>
      </c>
      <c r="I16" s="37">
        <v>422365</v>
      </c>
      <c r="J16" s="37">
        <f ca="1">(YEAR(TODAY())-YEAR(B16))*VLOOKUP(F16,'[4]נתונים נוספים'!$A$3:$C$9,3,FALSE)+VLOOKUP(F16,'[4]נתונים נוספים'!$A$3:$C$9,2,FALSE)</f>
        <v>25000</v>
      </c>
      <c r="K16" s="44" t="str">
        <f t="shared" si="0"/>
        <v>רבעון 2</v>
      </c>
      <c r="L16" s="44" t="str">
        <f>VLOOKUP(K16,'[4]נתונים נוספים'!$A$14:$M$17,VLOOKUP(E16,'[4]נתונים נוספים'!$Q$8:$R$19,2,FALSE),FALSE)</f>
        <v>זיכוי ברכישה הבאה</v>
      </c>
      <c r="M16" s="40">
        <f t="shared" si="1"/>
        <v>45816</v>
      </c>
      <c r="N16" s="44">
        <f t="shared" si="2"/>
        <v>1</v>
      </c>
      <c r="Q16" s="176"/>
      <c r="R16" s="177" t="s">
        <v>208</v>
      </c>
      <c r="S16" s="178"/>
    </row>
    <row r="17" spans="1:20" ht="18" x14ac:dyDescent="0.25">
      <c r="A17" s="35" t="s">
        <v>155</v>
      </c>
      <c r="B17" s="36">
        <v>43997</v>
      </c>
      <c r="C17" s="35" t="s">
        <v>25</v>
      </c>
      <c r="D17" s="35" t="s">
        <v>156</v>
      </c>
      <c r="E17" s="35" t="s">
        <v>70</v>
      </c>
      <c r="F17" s="35" t="s">
        <v>41</v>
      </c>
      <c r="G17" s="162" t="s">
        <v>124</v>
      </c>
      <c r="H17" s="163">
        <v>7.0000000000000007E-2</v>
      </c>
      <c r="I17" s="37">
        <v>123456</v>
      </c>
      <c r="J17" s="37">
        <f ca="1">(YEAR(TODAY())-YEAR(B17))*VLOOKUP(F17,'[4]נתונים נוספים'!$A$3:$C$9,3,FALSE)+VLOOKUP(F17,'[4]נתונים נוספים'!$A$3:$C$9,2,FALSE)</f>
        <v>26800</v>
      </c>
      <c r="K17" s="44" t="str">
        <f t="shared" si="0"/>
        <v>רבעון 2</v>
      </c>
      <c r="L17" s="44" t="str">
        <f>VLOOKUP(K17,'[4]נתונים נוספים'!$A$14:$M$17,VLOOKUP(E17,'[4]נתונים נוספים'!$Q$8:$R$19,2,FALSE),FALSE)</f>
        <v>הנחה על הרכישה הבאה</v>
      </c>
      <c r="M17" s="40">
        <f t="shared" si="1"/>
        <v>45823</v>
      </c>
      <c r="N17" s="44">
        <f t="shared" si="2"/>
        <v>1</v>
      </c>
      <c r="Q17" s="176"/>
      <c r="R17" s="177"/>
      <c r="S17" s="178"/>
    </row>
    <row r="18" spans="1:20" ht="18" x14ac:dyDescent="0.25">
      <c r="A18" s="35" t="s">
        <v>157</v>
      </c>
      <c r="B18" s="36">
        <v>43705</v>
      </c>
      <c r="C18" s="35" t="s">
        <v>20</v>
      </c>
      <c r="D18" s="35" t="s">
        <v>158</v>
      </c>
      <c r="E18" s="35" t="s">
        <v>70</v>
      </c>
      <c r="F18" s="35" t="s">
        <v>42</v>
      </c>
      <c r="G18" s="162" t="s">
        <v>124</v>
      </c>
      <c r="H18" s="163">
        <v>0.08</v>
      </c>
      <c r="I18" s="37">
        <v>187654</v>
      </c>
      <c r="J18" s="37">
        <f ca="1">(YEAR(TODAY())-YEAR(B18))*VLOOKUP(F18,'[4]נתונים נוספים'!$A$3:$C$9,3,FALSE)+VLOOKUP(F18,'[4]נתונים נוספים'!$A$3:$C$9,2,FALSE)</f>
        <v>18250</v>
      </c>
      <c r="K18" s="44" t="str">
        <f t="shared" si="0"/>
        <v>רבעון 3</v>
      </c>
      <c r="L18" s="44" t="str">
        <f>VLOOKUP(K18,'[4]נתונים נוספים'!$A$14:$M$17,VLOOKUP(E18,'[4]נתונים נוספים'!$Q$8:$R$19,2,FALSE),FALSE)</f>
        <v>מוצר חינם</v>
      </c>
      <c r="M18" s="40">
        <f t="shared" si="1"/>
        <v>45347</v>
      </c>
      <c r="N18" s="44">
        <f t="shared" si="2"/>
        <v>1</v>
      </c>
      <c r="Q18" s="176"/>
      <c r="R18" s="177"/>
      <c r="S18" s="178"/>
    </row>
    <row r="19" spans="1:20" ht="18" x14ac:dyDescent="0.25">
      <c r="A19" s="35" t="s">
        <v>159</v>
      </c>
      <c r="B19" s="36">
        <v>44438</v>
      </c>
      <c r="C19" s="35" t="s">
        <v>26</v>
      </c>
      <c r="D19" s="35" t="s">
        <v>160</v>
      </c>
      <c r="E19" s="35" t="s">
        <v>66</v>
      </c>
      <c r="F19" s="35" t="s">
        <v>43</v>
      </c>
      <c r="G19" s="162" t="s">
        <v>124</v>
      </c>
      <c r="H19" s="163">
        <v>0.05</v>
      </c>
      <c r="I19" s="37">
        <v>440000</v>
      </c>
      <c r="J19" s="37">
        <f ca="1">(YEAR(TODAY())-YEAR(B19))*VLOOKUP(F19,'[4]נתונים נוספים'!$A$3:$C$9,3,FALSE)+VLOOKUP(F19,'[4]נתונים נוספים'!$A$3:$C$9,2,FALSE)</f>
        <v>13750</v>
      </c>
      <c r="K19" s="44" t="str">
        <f t="shared" si="0"/>
        <v>רבעון 3</v>
      </c>
      <c r="L19" s="44" t="str">
        <f>VLOOKUP(K19,'[4]נתונים נוספים'!$A$14:$M$17,VLOOKUP(E19,'[4]נתונים נוספים'!$Q$8:$R$19,2,FALSE),FALSE)</f>
        <v>מוצר חינם</v>
      </c>
      <c r="M19" s="40">
        <f t="shared" si="1"/>
        <v>46634</v>
      </c>
      <c r="N19" s="44" t="str">
        <f t="shared" si="2"/>
        <v>ייקבע מועד אחר</v>
      </c>
      <c r="Q19" s="176">
        <v>2</v>
      </c>
      <c r="R19" s="177" t="s">
        <v>217</v>
      </c>
      <c r="S19" s="178"/>
    </row>
    <row r="20" spans="1:20" ht="18" x14ac:dyDescent="0.25">
      <c r="A20" s="35" t="s">
        <v>161</v>
      </c>
      <c r="B20" s="36">
        <v>43710</v>
      </c>
      <c r="C20" s="35" t="s">
        <v>27</v>
      </c>
      <c r="D20" s="35" t="s">
        <v>162</v>
      </c>
      <c r="E20" s="35" t="s">
        <v>73</v>
      </c>
      <c r="F20" s="35" t="s">
        <v>45</v>
      </c>
      <c r="G20" s="162" t="s">
        <v>140</v>
      </c>
      <c r="H20" s="163">
        <v>0.12</v>
      </c>
      <c r="I20" s="37">
        <v>365125</v>
      </c>
      <c r="J20" s="37">
        <f ca="1">(YEAR(TODAY())-YEAR(B20))*VLOOKUP(F20,'[4]נתונים נוספים'!$A$3:$C$9,3,FALSE)+VLOOKUP(F20,'[4]נתונים נוספים'!$A$3:$C$9,2,FALSE)</f>
        <v>17800</v>
      </c>
      <c r="K20" s="44" t="str">
        <f t="shared" si="0"/>
        <v>רבעון 3</v>
      </c>
      <c r="L20" s="44" t="str">
        <f>VLOOKUP(K20,'[4]נתונים נוספים'!$A$14:$M$17,VLOOKUP(E20,'[4]נתונים נוספים'!$Q$8:$R$19,2,FALSE),FALSE)</f>
        <v>מוצר חינם</v>
      </c>
      <c r="M20" s="40">
        <f t="shared" si="1"/>
        <v>45347</v>
      </c>
      <c r="N20" s="44">
        <f t="shared" si="2"/>
        <v>1</v>
      </c>
      <c r="Q20" s="176"/>
      <c r="R20" s="177" t="s">
        <v>209</v>
      </c>
      <c r="S20" s="178"/>
    </row>
    <row r="21" spans="1:20" ht="18" x14ac:dyDescent="0.25">
      <c r="A21" s="35" t="s">
        <v>163</v>
      </c>
      <c r="B21" s="36">
        <v>43722</v>
      </c>
      <c r="C21" s="35" t="s">
        <v>28</v>
      </c>
      <c r="D21" s="35" t="s">
        <v>164</v>
      </c>
      <c r="E21" s="35" t="s">
        <v>70</v>
      </c>
      <c r="F21" s="35" t="s">
        <v>46</v>
      </c>
      <c r="G21" s="162" t="s">
        <v>124</v>
      </c>
      <c r="H21" s="163">
        <v>7.0000000000000007E-2</v>
      </c>
      <c r="I21" s="37">
        <v>321987</v>
      </c>
      <c r="J21" s="37">
        <f ca="1">(YEAR(TODAY())-YEAR(B21))*VLOOKUP(F21,'[4]נתונים נוספים'!$A$3:$C$9,3,FALSE)+VLOOKUP(F21,'[4]נתונים נוספים'!$A$3:$C$9,2,FALSE)</f>
        <v>13050</v>
      </c>
      <c r="K21" s="44" t="str">
        <f t="shared" si="0"/>
        <v>רבעון 3</v>
      </c>
      <c r="L21" s="44" t="str">
        <f>VLOOKUP(K21,'[4]נתונים נוספים'!$A$14:$M$17,VLOOKUP(E21,'[4]נתונים נוספים'!$Q$8:$R$19,2,FALSE),FALSE)</f>
        <v>מוצר חינם</v>
      </c>
      <c r="M21" s="40">
        <f t="shared" si="1"/>
        <v>45347</v>
      </c>
      <c r="N21" s="44">
        <f t="shared" si="2"/>
        <v>1</v>
      </c>
      <c r="Q21" s="176"/>
      <c r="R21" s="177"/>
      <c r="S21" s="178"/>
    </row>
    <row r="22" spans="1:20" ht="18" x14ac:dyDescent="0.25">
      <c r="A22" s="35" t="s">
        <v>165</v>
      </c>
      <c r="B22" s="36">
        <v>43365</v>
      </c>
      <c r="C22" s="35" t="s">
        <v>29</v>
      </c>
      <c r="D22" s="35" t="s">
        <v>166</v>
      </c>
      <c r="E22" s="35" t="s">
        <v>67</v>
      </c>
      <c r="F22" s="35" t="s">
        <v>40</v>
      </c>
      <c r="G22" s="162" t="s">
        <v>124</v>
      </c>
      <c r="H22" s="163">
        <v>0.08</v>
      </c>
      <c r="I22" s="37">
        <v>133455</v>
      </c>
      <c r="J22" s="37">
        <f ca="1">(YEAR(TODAY())-YEAR(B22))*VLOOKUP(F22,'[4]נתונים נוספים'!$A$3:$C$9,3,FALSE)+VLOOKUP(F22,'[4]נתונים נוספים'!$A$3:$C$9,2,FALSE)</f>
        <v>26000</v>
      </c>
      <c r="K22" s="44" t="str">
        <f t="shared" si="0"/>
        <v>רבעון 3</v>
      </c>
      <c r="L22" s="44" t="str">
        <f>VLOOKUP(K22,'[4]נתונים נוספים'!$A$14:$M$17,VLOOKUP(E22,'[4]נתונים נוספים'!$Q$8:$R$19,2,FALSE),FALSE)</f>
        <v>הנחה על הרכישה הבאה</v>
      </c>
      <c r="M22" s="40">
        <f t="shared" si="1"/>
        <v>45347</v>
      </c>
      <c r="N22" s="44">
        <f t="shared" si="2"/>
        <v>1</v>
      </c>
      <c r="Q22" s="176">
        <v>3</v>
      </c>
      <c r="R22" s="177" t="s">
        <v>210</v>
      </c>
      <c r="S22" s="178"/>
    </row>
    <row r="23" spans="1:20" ht="18" x14ac:dyDescent="0.25">
      <c r="A23" s="35" t="s">
        <v>167</v>
      </c>
      <c r="B23" s="36">
        <v>43389</v>
      </c>
      <c r="C23" s="35" t="s">
        <v>30</v>
      </c>
      <c r="D23" s="35" t="s">
        <v>168</v>
      </c>
      <c r="E23" s="35" t="s">
        <v>74</v>
      </c>
      <c r="F23" s="35" t="s">
        <v>41</v>
      </c>
      <c r="G23" s="162" t="s">
        <v>124</v>
      </c>
      <c r="H23" s="163">
        <v>7.0000000000000007E-2</v>
      </c>
      <c r="I23" s="37">
        <v>170000</v>
      </c>
      <c r="J23" s="37">
        <f ca="1">(YEAR(TODAY())-YEAR(B23))*VLOOKUP(F23,'[4]נתונים נוספים'!$A$3:$C$9,3,FALSE)+VLOOKUP(F23,'[4]נתונים נוספים'!$A$3:$C$9,2,FALSE)</f>
        <v>27400</v>
      </c>
      <c r="K23" s="44" t="str">
        <f t="shared" si="0"/>
        <v>רבעון 4</v>
      </c>
      <c r="L23" s="44" t="str">
        <f>VLOOKUP(K23,'[4]נתונים נוספים'!$A$14:$M$17,VLOOKUP(E23,'[4]נתונים נוספים'!$Q$8:$R$19,2,FALSE),FALSE)</f>
        <v>זיכוי ברכישה הבאה</v>
      </c>
      <c r="M23" s="40">
        <f t="shared" si="1"/>
        <v>45347</v>
      </c>
      <c r="N23" s="44">
        <f t="shared" si="2"/>
        <v>1</v>
      </c>
      <c r="Q23" s="176"/>
      <c r="R23" s="177"/>
      <c r="S23" s="178"/>
    </row>
    <row r="24" spans="1:20" ht="18" x14ac:dyDescent="0.25">
      <c r="A24" s="35" t="s">
        <v>170</v>
      </c>
      <c r="B24" s="36">
        <v>43405</v>
      </c>
      <c r="C24" s="35" t="s">
        <v>31</v>
      </c>
      <c r="D24" s="35" t="s">
        <v>171</v>
      </c>
      <c r="E24" s="35" t="s">
        <v>69</v>
      </c>
      <c r="F24" s="35" t="s">
        <v>42</v>
      </c>
      <c r="G24" s="162" t="s">
        <v>124</v>
      </c>
      <c r="H24" s="163">
        <v>0.05</v>
      </c>
      <c r="I24" s="37">
        <v>258000</v>
      </c>
      <c r="J24" s="37">
        <f ca="1">(YEAR(TODAY())-YEAR(B24))*VLOOKUP(F24,'[4]נתונים נוספים'!$A$3:$C$9,3,FALSE)+VLOOKUP(F24,'[4]נתונים נוספים'!$A$3:$C$9,2,FALSE)</f>
        <v>19000</v>
      </c>
      <c r="K24" s="44" t="str">
        <f t="shared" si="0"/>
        <v>רבעון 4</v>
      </c>
      <c r="L24" s="44" t="str">
        <f>VLOOKUP(K24,'[4]נתונים נוספים'!$A$14:$M$17,VLOOKUP(E24,'[4]נתונים נוספים'!$Q$8:$R$19,2,FALSE),FALSE)</f>
        <v>מוצר חינם</v>
      </c>
      <c r="M24" s="40">
        <f t="shared" si="1"/>
        <v>45347</v>
      </c>
      <c r="N24" s="44">
        <f t="shared" si="2"/>
        <v>1</v>
      </c>
      <c r="Q24" s="176">
        <v>4</v>
      </c>
      <c r="R24" s="177" t="s">
        <v>218</v>
      </c>
      <c r="S24" s="178"/>
    </row>
    <row r="25" spans="1:20" ht="18" x14ac:dyDescent="0.25">
      <c r="A25" s="35" t="s">
        <v>172</v>
      </c>
      <c r="B25" s="36">
        <v>43416</v>
      </c>
      <c r="C25" s="35" t="s">
        <v>32</v>
      </c>
      <c r="D25" s="35" t="s">
        <v>173</v>
      </c>
      <c r="E25" s="35" t="s">
        <v>75</v>
      </c>
      <c r="F25" s="35" t="s">
        <v>43</v>
      </c>
      <c r="G25" s="162" t="s">
        <v>127</v>
      </c>
      <c r="H25" s="163">
        <v>0.01</v>
      </c>
      <c r="I25" s="37">
        <v>145685</v>
      </c>
      <c r="J25" s="37">
        <f ca="1">(YEAR(TODAY())-YEAR(B25))*VLOOKUP(F25,'[4]נתונים נוספים'!$A$3:$C$9,3,FALSE)+VLOOKUP(F25,'[4]נתונים נוספים'!$A$3:$C$9,2,FALSE)</f>
        <v>14500</v>
      </c>
      <c r="K25" s="44" t="str">
        <f t="shared" si="0"/>
        <v>רבעון 4</v>
      </c>
      <c r="L25" s="44" t="str">
        <f>VLOOKUP(K25,'[4]נתונים נוספים'!$A$14:$M$17,VLOOKUP(E25,'[4]נתונים נוספים'!$Q$8:$R$19,2,FALSE),FALSE)</f>
        <v>מוצר חינם</v>
      </c>
      <c r="M25" s="40">
        <f t="shared" si="1"/>
        <v>45347</v>
      </c>
      <c r="N25" s="44">
        <f t="shared" si="2"/>
        <v>1</v>
      </c>
      <c r="Q25" s="176"/>
      <c r="R25" s="177"/>
      <c r="S25" s="178"/>
    </row>
    <row r="26" spans="1:20" ht="18" x14ac:dyDescent="0.25">
      <c r="A26" s="35" t="s">
        <v>174</v>
      </c>
      <c r="B26" s="36">
        <v>43423</v>
      </c>
      <c r="C26" s="35" t="s">
        <v>33</v>
      </c>
      <c r="D26" s="35" t="s">
        <v>175</v>
      </c>
      <c r="E26" s="35" t="s">
        <v>66</v>
      </c>
      <c r="F26" s="35" t="s">
        <v>44</v>
      </c>
      <c r="G26" s="162" t="s">
        <v>127</v>
      </c>
      <c r="H26" s="163">
        <v>0.01</v>
      </c>
      <c r="I26" s="37">
        <v>36000</v>
      </c>
      <c r="J26" s="37">
        <f ca="1">(YEAR(TODAY())-YEAR(B26))*VLOOKUP(F26,'[4]נתונים נוספים'!$A$3:$C$9,3,FALSE)+VLOOKUP(F26,'[4]נתונים נוספים'!$A$3:$C$9,2,FALSE)</f>
        <v>14400</v>
      </c>
      <c r="K26" s="44" t="str">
        <f t="shared" si="0"/>
        <v>רבעון 4</v>
      </c>
      <c r="L26" s="44" t="str">
        <f>VLOOKUP(K26,'[4]נתונים נוספים'!$A$14:$M$17,VLOOKUP(E26,'[4]נתונים נוספים'!$Q$8:$R$19,2,FALSE),FALSE)</f>
        <v>זיכוי ברכישה הבאה</v>
      </c>
      <c r="M26" s="40">
        <f t="shared" si="1"/>
        <v>45347</v>
      </c>
      <c r="N26" s="44">
        <f t="shared" si="2"/>
        <v>1</v>
      </c>
      <c r="Q26" s="176"/>
      <c r="R26" s="177" t="s">
        <v>214</v>
      </c>
      <c r="S26" s="178" t="s">
        <v>211</v>
      </c>
      <c r="T26" s="27"/>
    </row>
    <row r="27" spans="1:20" x14ac:dyDescent="0.25">
      <c r="A27" s="35" t="s">
        <v>176</v>
      </c>
      <c r="B27" s="36">
        <v>43426</v>
      </c>
      <c r="C27" s="35" t="s">
        <v>177</v>
      </c>
      <c r="D27" s="35" t="s">
        <v>178</v>
      </c>
      <c r="E27" s="35" t="s">
        <v>71</v>
      </c>
      <c r="F27" s="35" t="s">
        <v>45</v>
      </c>
      <c r="G27" s="162" t="s">
        <v>140</v>
      </c>
      <c r="H27" s="163">
        <v>0.2</v>
      </c>
      <c r="I27" s="37">
        <v>77000</v>
      </c>
      <c r="J27" s="37">
        <f ca="1">(YEAR(TODAY())-YEAR(B27))*VLOOKUP(F27,'[4]נתונים נוספים'!$A$3:$C$9,3,FALSE)+VLOOKUP(F27,'[4]נתונים נוספים'!$A$3:$C$9,2,FALSE)</f>
        <v>18200</v>
      </c>
      <c r="K27" s="44" t="str">
        <f t="shared" si="0"/>
        <v>רבעון 4</v>
      </c>
      <c r="L27" s="44" t="str">
        <f>VLOOKUP(K27,'[4]נתונים נוספים'!$A$14:$M$17,VLOOKUP(E27,'[4]נתונים נוספים'!$Q$8:$R$19,2,FALSE),FALSE)</f>
        <v>אין הטבה</v>
      </c>
      <c r="M27" s="40">
        <f t="shared" si="1"/>
        <v>45347</v>
      </c>
      <c r="N27" s="44">
        <f t="shared" si="2"/>
        <v>1</v>
      </c>
      <c r="Q27" s="171"/>
      <c r="R27" s="41"/>
      <c r="S27" s="172"/>
    </row>
    <row r="28" spans="1:20" ht="18" x14ac:dyDescent="0.25">
      <c r="A28" s="42" t="s">
        <v>179</v>
      </c>
      <c r="B28" s="43">
        <v>44525</v>
      </c>
      <c r="C28" s="42" t="s">
        <v>180</v>
      </c>
      <c r="D28" s="42" t="s">
        <v>181</v>
      </c>
      <c r="E28" s="42" t="s">
        <v>73</v>
      </c>
      <c r="F28" s="42" t="s">
        <v>46</v>
      </c>
      <c r="G28" s="165" t="s">
        <v>124</v>
      </c>
      <c r="H28" s="166">
        <v>0.05</v>
      </c>
      <c r="I28" s="37">
        <v>280000</v>
      </c>
      <c r="J28" s="37">
        <f ca="1">(YEAR(TODAY())-YEAR(B28))*VLOOKUP(F28,'[4]נתונים נוספים'!$A$3:$C$9,3,FALSE)+VLOOKUP(F28,'[4]נתונים נוספים'!$A$3:$C$9,2,FALSE)</f>
        <v>12750</v>
      </c>
      <c r="K28" s="44" t="str">
        <f t="shared" si="0"/>
        <v>רבעון 4</v>
      </c>
      <c r="L28" s="44" t="str">
        <f>VLOOKUP(K28,'[4]נתונים נוספים'!$A$14:$M$17,VLOOKUP(E28,'[4]נתונים נוספים'!$Q$8:$R$19,2,FALSE),FALSE)</f>
        <v>אין הטבה</v>
      </c>
      <c r="M28" s="40">
        <f>IF(K28=$J$48,DATE(YEAR(B28)+$K$48,MONTH(B28),DAY(B28)),IF(OR(YEAR(B28)=$J$49,YEAR(B28)=$J$50),DATE(YEAR(B28)+$K$49,MONTH(B28),DAY(B28)+$L$49),"X"))</f>
        <v>46721</v>
      </c>
      <c r="N28" s="44">
        <f t="shared" si="2"/>
        <v>3</v>
      </c>
      <c r="Q28" s="171"/>
      <c r="R28" s="177" t="s">
        <v>215</v>
      </c>
      <c r="S28" s="172" t="s">
        <v>212</v>
      </c>
    </row>
    <row r="29" spans="1:20" x14ac:dyDescent="0.25">
      <c r="Q29" s="171"/>
      <c r="S29" s="172"/>
    </row>
    <row r="30" spans="1:20" ht="16.2" thickBot="1" x14ac:dyDescent="0.3">
      <c r="I30" s="39"/>
      <c r="L30" s="30"/>
      <c r="N30" s="30"/>
      <c r="Q30" s="173"/>
      <c r="R30" s="174" t="s">
        <v>216</v>
      </c>
      <c r="S30" s="175" t="s">
        <v>213</v>
      </c>
    </row>
    <row r="32" spans="1:20" ht="17.399999999999999" x14ac:dyDescent="0.25">
      <c r="F32" s="440"/>
      <c r="G32" s="440"/>
      <c r="H32" s="440"/>
      <c r="I32" s="440"/>
      <c r="J32" s="440"/>
      <c r="K32" s="440"/>
      <c r="L32" s="440"/>
      <c r="M32" s="440"/>
      <c r="N32" s="46"/>
    </row>
    <row r="33" spans="1:19" x14ac:dyDescent="0.25">
      <c r="E33" s="156"/>
      <c r="F33" s="158"/>
      <c r="G33" s="158"/>
      <c r="H33" s="45"/>
      <c r="I33" s="45"/>
      <c r="J33" s="45"/>
      <c r="K33" s="45"/>
      <c r="L33" s="45"/>
      <c r="M33" s="45"/>
      <c r="N33" s="45"/>
    </row>
    <row r="34" spans="1:19" x14ac:dyDescent="0.25">
      <c r="A34" s="167"/>
      <c r="G34" s="45"/>
      <c r="H34" s="45"/>
      <c r="I34" s="45"/>
      <c r="J34" s="45"/>
      <c r="K34" s="45"/>
      <c r="L34" s="45"/>
      <c r="M34" s="45"/>
      <c r="N34" s="45"/>
      <c r="O34" s="190"/>
      <c r="R34" s="191"/>
      <c r="S34" s="190"/>
    </row>
    <row r="35" spans="1:19" x14ac:dyDescent="0.25">
      <c r="G35" s="45"/>
      <c r="H35" s="45"/>
      <c r="I35" s="45"/>
      <c r="J35" s="45"/>
      <c r="K35" s="45"/>
      <c r="L35" s="45"/>
      <c r="M35" s="45"/>
      <c r="N35" s="45"/>
      <c r="R35" s="41"/>
    </row>
    <row r="36" spans="1:19" x14ac:dyDescent="0.25">
      <c r="A36" s="33"/>
      <c r="B36" s="33"/>
      <c r="C36" s="33"/>
      <c r="D36" s="32"/>
      <c r="E36" s="32"/>
      <c r="F36" s="33"/>
      <c r="G36" s="32"/>
      <c r="H36" s="32"/>
      <c r="I36" s="27"/>
      <c r="L36" s="30"/>
      <c r="M36" s="30"/>
    </row>
    <row r="37" spans="1:19" x14ac:dyDescent="0.25">
      <c r="A37" s="41"/>
      <c r="B37" s="40"/>
      <c r="C37" s="41"/>
      <c r="D37" s="41"/>
      <c r="E37" s="41"/>
      <c r="F37" s="41"/>
      <c r="H37" s="168"/>
      <c r="I37" s="47"/>
      <c r="J37" s="45"/>
      <c r="K37" s="45"/>
      <c r="L37" s="48"/>
      <c r="M37" s="45"/>
      <c r="N37" s="45"/>
    </row>
    <row r="38" spans="1:19" x14ac:dyDescent="0.25">
      <c r="A38" s="41"/>
      <c r="B38" s="40"/>
      <c r="C38" s="41"/>
      <c r="D38" s="41"/>
      <c r="E38" s="41"/>
      <c r="F38" s="41"/>
      <c r="H38" s="168"/>
      <c r="I38" s="47"/>
      <c r="J38" s="45"/>
      <c r="K38" s="45"/>
      <c r="L38" s="48"/>
      <c r="M38" s="45"/>
      <c r="N38" s="45"/>
    </row>
    <row r="39" spans="1:19" x14ac:dyDescent="0.25">
      <c r="A39" s="41"/>
      <c r="B39" s="40"/>
      <c r="C39" s="41"/>
      <c r="D39" s="41"/>
      <c r="E39" s="41"/>
      <c r="F39" s="41"/>
      <c r="H39" s="168"/>
      <c r="I39" s="47"/>
      <c r="J39" s="45"/>
      <c r="K39" s="45"/>
      <c r="L39" s="48"/>
      <c r="M39" s="45"/>
      <c r="N39" s="45"/>
    </row>
    <row r="40" spans="1:19" x14ac:dyDescent="0.25">
      <c r="A40" s="41"/>
      <c r="B40" s="40"/>
      <c r="C40" s="41"/>
      <c r="D40" s="41"/>
      <c r="E40" s="41"/>
      <c r="F40" s="41"/>
      <c r="H40" s="168"/>
      <c r="I40" s="47"/>
      <c r="J40" s="45"/>
      <c r="K40" s="45"/>
      <c r="L40" s="48"/>
      <c r="M40" s="45"/>
      <c r="N40" s="45"/>
    </row>
    <row r="41" spans="1:19" x14ac:dyDescent="0.25">
      <c r="A41" s="41"/>
      <c r="B41" s="40"/>
      <c r="C41" s="41"/>
      <c r="D41" s="41"/>
      <c r="E41" s="41"/>
      <c r="F41" s="33"/>
      <c r="H41" s="168"/>
      <c r="I41" s="47"/>
      <c r="J41" s="45"/>
      <c r="K41" s="45"/>
      <c r="L41" s="48"/>
      <c r="M41" s="45"/>
      <c r="N41" s="45"/>
    </row>
    <row r="42" spans="1:19" x14ac:dyDescent="0.25">
      <c r="A42" s="41"/>
      <c r="B42" s="40"/>
      <c r="C42" s="41"/>
      <c r="D42" s="41"/>
      <c r="E42" s="41"/>
      <c r="F42" s="169"/>
      <c r="I42" s="47"/>
      <c r="J42" s="45"/>
      <c r="K42" s="45"/>
      <c r="L42" s="45"/>
      <c r="M42" s="45"/>
      <c r="N42" s="45"/>
      <c r="Q42" s="41"/>
    </row>
    <row r="43" spans="1:19" x14ac:dyDescent="0.25">
      <c r="A43" s="41"/>
      <c r="B43" s="40"/>
      <c r="C43" s="41"/>
      <c r="D43" s="41"/>
      <c r="E43" s="41"/>
      <c r="F43" s="169"/>
      <c r="H43" s="168"/>
      <c r="I43" s="47"/>
      <c r="J43" s="45"/>
      <c r="K43" s="45"/>
      <c r="L43" s="45"/>
      <c r="M43" s="45"/>
      <c r="N43" s="45"/>
      <c r="Q43" s="41"/>
    </row>
    <row r="44" spans="1:19" x14ac:dyDescent="0.25">
      <c r="F44" s="169"/>
      <c r="G44" s="45"/>
      <c r="H44" s="45"/>
      <c r="I44" s="45"/>
      <c r="J44" s="45"/>
      <c r="K44" s="45"/>
      <c r="L44" s="45"/>
      <c r="M44" s="45"/>
      <c r="N44" s="45"/>
    </row>
    <row r="45" spans="1:19" ht="17.399999999999999" x14ac:dyDescent="0.25">
      <c r="I45" s="49"/>
    </row>
    <row r="48" spans="1:19" x14ac:dyDescent="0.25">
      <c r="J48" s="28" t="s">
        <v>81</v>
      </c>
      <c r="K48" s="28">
        <v>5</v>
      </c>
    </row>
    <row r="49" spans="5:12" x14ac:dyDescent="0.25">
      <c r="E49" s="28"/>
      <c r="F49" s="28"/>
      <c r="J49" s="28">
        <v>2020</v>
      </c>
      <c r="K49" s="28">
        <v>6</v>
      </c>
      <c r="L49" s="28">
        <v>5</v>
      </c>
    </row>
    <row r="50" spans="5:12" x14ac:dyDescent="0.25">
      <c r="E50" s="28"/>
      <c r="F50" s="28"/>
      <c r="J50" s="28">
        <v>2021</v>
      </c>
    </row>
    <row r="51" spans="5:12" x14ac:dyDescent="0.25">
      <c r="E51" s="28"/>
      <c r="F51" s="28"/>
      <c r="J51" s="40">
        <v>44982</v>
      </c>
      <c r="K51" s="28">
        <v>1</v>
      </c>
    </row>
    <row r="52" spans="5:12" x14ac:dyDescent="0.25">
      <c r="J52" s="28">
        <v>7</v>
      </c>
      <c r="K52" s="28" t="s">
        <v>169</v>
      </c>
    </row>
    <row r="53" spans="5:12" x14ac:dyDescent="0.25">
      <c r="J53" s="45"/>
      <c r="K53" s="45"/>
    </row>
    <row r="57" spans="5:12" x14ac:dyDescent="0.25">
      <c r="H57" s="44" t="s">
        <v>120</v>
      </c>
      <c r="I57" s="44" t="s">
        <v>121</v>
      </c>
    </row>
    <row r="58" spans="5:12" x14ac:dyDescent="0.25">
      <c r="H58" s="44">
        <v>3</v>
      </c>
      <c r="I58" s="44" t="s">
        <v>76</v>
      </c>
    </row>
    <row r="59" spans="5:12" x14ac:dyDescent="0.25">
      <c r="H59" s="44">
        <v>6</v>
      </c>
      <c r="I59" s="44" t="s">
        <v>81</v>
      </c>
    </row>
    <row r="60" spans="5:12" x14ac:dyDescent="0.25">
      <c r="H60" s="44">
        <v>9</v>
      </c>
      <c r="I60" s="44" t="s">
        <v>82</v>
      </c>
    </row>
    <row r="61" spans="5:12" x14ac:dyDescent="0.25">
      <c r="H61" s="44"/>
      <c r="I61" s="44" t="s">
        <v>83</v>
      </c>
    </row>
  </sheetData>
  <mergeCells count="1">
    <mergeCell ref="F32:M3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9F18-518F-461C-BEFE-D5E83A33DEDA}">
  <sheetPr>
    <tabColor rgb="FFFFC000"/>
  </sheetPr>
  <dimension ref="A1:Z91"/>
  <sheetViews>
    <sheetView rightToLeft="1" topLeftCell="C1" zoomScale="85" zoomScaleNormal="85" workbookViewId="0">
      <selection activeCell="R28" sqref="R28"/>
    </sheetView>
  </sheetViews>
  <sheetFormatPr defaultColWidth="7.8984375" defaultRowHeight="13.8" x14ac:dyDescent="0.25"/>
  <cols>
    <col min="1" max="1" width="10.59765625" style="237" hidden="1" customWidth="1"/>
    <col min="2" max="2" width="10.296875" style="237" hidden="1" customWidth="1"/>
    <col min="3" max="3" width="14.09765625" style="237" customWidth="1"/>
    <col min="4" max="4" width="15" style="237" customWidth="1"/>
    <col min="5" max="5" width="10.19921875" style="237" hidden="1" customWidth="1"/>
    <col min="6" max="6" width="15" style="237" hidden="1" customWidth="1"/>
    <col min="7" max="7" width="19.796875" style="237" customWidth="1"/>
    <col min="8" max="8" width="16.296875" style="237" customWidth="1"/>
    <col min="9" max="9" width="17.09765625" style="237" customWidth="1"/>
    <col min="10" max="10" width="17.09765625" style="237" hidden="1" customWidth="1"/>
    <col min="11" max="11" width="21.69921875" style="237" customWidth="1"/>
    <col min="12" max="12" width="9.3984375" style="237" bestFit="1" customWidth="1"/>
    <col min="13" max="13" width="37.69921875" style="237" customWidth="1"/>
    <col min="14" max="14" width="12" style="237" bestFit="1" customWidth="1"/>
    <col min="15" max="15" width="7.8984375" style="94"/>
    <col min="16" max="16" width="7.8984375" style="237"/>
    <col min="17" max="17" width="7.8984375" style="94"/>
    <col min="18" max="18" width="19.8984375" style="237" customWidth="1"/>
    <col min="19" max="19" width="61.3984375" style="237" customWidth="1"/>
    <col min="20" max="20" width="16.69921875" style="237" customWidth="1"/>
    <col min="21" max="21" width="17" style="237" customWidth="1"/>
    <col min="22" max="22" width="7.8984375" style="237"/>
    <col min="23" max="23" width="10.296875" style="237" customWidth="1"/>
    <col min="24" max="24" width="7.8984375" style="237"/>
    <col min="25" max="25" width="8.5" style="237" bestFit="1" customWidth="1"/>
    <col min="26" max="16384" width="7.8984375" style="237"/>
  </cols>
  <sheetData>
    <row r="1" spans="1:25" s="233" customFormat="1" ht="33.75" customHeight="1" thickBot="1" x14ac:dyDescent="0.3">
      <c r="A1" s="223" t="s">
        <v>51</v>
      </c>
      <c r="B1" s="223" t="s">
        <v>52</v>
      </c>
      <c r="C1" s="226" t="s">
        <v>110</v>
      </c>
      <c r="D1" s="227" t="s">
        <v>225</v>
      </c>
      <c r="E1" s="227" t="s">
        <v>226</v>
      </c>
      <c r="F1" s="227" t="s">
        <v>227</v>
      </c>
      <c r="G1" s="228" t="s">
        <v>311</v>
      </c>
      <c r="H1" s="227" t="s">
        <v>228</v>
      </c>
      <c r="I1" s="229" t="s">
        <v>310</v>
      </c>
      <c r="J1" s="227" t="s">
        <v>229</v>
      </c>
      <c r="K1" s="227" t="s">
        <v>230</v>
      </c>
      <c r="L1" s="232" t="s">
        <v>231</v>
      </c>
      <c r="M1" s="225" t="s">
        <v>312</v>
      </c>
      <c r="N1" s="230" t="s">
        <v>231</v>
      </c>
    </row>
    <row r="2" spans="1:25" x14ac:dyDescent="0.25">
      <c r="A2" s="234">
        <v>20103</v>
      </c>
      <c r="B2" s="234" t="s">
        <v>232</v>
      </c>
      <c r="C2" s="235" t="s">
        <v>70</v>
      </c>
      <c r="D2" s="236">
        <v>41907</v>
      </c>
      <c r="E2" s="234">
        <v>2</v>
      </c>
      <c r="F2" s="237">
        <v>8</v>
      </c>
      <c r="G2" s="238">
        <v>58313</v>
      </c>
      <c r="H2" s="237" t="str">
        <f>VLOOKUP(E2,'[5]נתוני עזר'!$B$4:$C$7,2,FALSE)</f>
        <v>מזומן</v>
      </c>
      <c r="I2" s="239">
        <f t="shared" ref="I2:I33" si="0">G2*IF(YEAR(D2)&lt;=$D$73,$E$82,IF(YEAR(D2)&lt;=$D$74,$E$74,IF(YEAR(D2)&lt;=$D$76,$E$76,IF(YEAR(D2)&lt;=$D$78,$E$78,IF(YEAR(D2)&lt;=$D$80,$E$80,$E$82)))))</f>
        <v>5248.17</v>
      </c>
      <c r="J2" s="239">
        <v>5248.17</v>
      </c>
      <c r="K2" s="240">
        <f t="shared" ref="K2:K33" si="1">(G2-I2)/$R$3</f>
        <v>26532.415000000001</v>
      </c>
      <c r="L2" s="237">
        <f t="shared" ref="L2:L33" si="2">YEAR(D2)</f>
        <v>2014</v>
      </c>
      <c r="M2" s="241">
        <f t="shared" ref="M2:M33" si="3">(G2-I2)/$R$3</f>
        <v>26532.415000000001</v>
      </c>
      <c r="N2" s="242">
        <f t="shared" ref="N2:N33" si="4">YEAR(D2)</f>
        <v>2014</v>
      </c>
      <c r="Q2" s="237"/>
      <c r="R2" s="243" t="s">
        <v>256</v>
      </c>
      <c r="S2" s="244"/>
    </row>
    <row r="3" spans="1:25" ht="14.4" thickBot="1" x14ac:dyDescent="0.3">
      <c r="A3" s="234">
        <v>20138</v>
      </c>
      <c r="B3" s="234" t="s">
        <v>233</v>
      </c>
      <c r="C3" s="235" t="s">
        <v>70</v>
      </c>
      <c r="D3" s="236">
        <v>42616</v>
      </c>
      <c r="E3" s="234">
        <v>4</v>
      </c>
      <c r="F3" s="237">
        <v>4</v>
      </c>
      <c r="G3" s="238">
        <v>127284</v>
      </c>
      <c r="H3" s="237" t="str">
        <f>VLOOKUP(E3,'[5]נתוני עזר'!$B$4:$C$7,2,FALSE)</f>
        <v>מס"ב</v>
      </c>
      <c r="I3" s="239">
        <f t="shared" si="0"/>
        <v>5091.3599999999997</v>
      </c>
      <c r="J3" s="239">
        <v>5091.3599999999997</v>
      </c>
      <c r="K3" s="240">
        <f t="shared" si="1"/>
        <v>61096.32</v>
      </c>
      <c r="L3" s="237">
        <f t="shared" si="2"/>
        <v>2016</v>
      </c>
      <c r="M3" s="241">
        <f t="shared" si="3"/>
        <v>61096.32</v>
      </c>
      <c r="N3" s="242">
        <f t="shared" si="4"/>
        <v>2016</v>
      </c>
      <c r="Q3" s="237"/>
      <c r="R3" s="245">
        <v>2</v>
      </c>
      <c r="S3" s="246"/>
    </row>
    <row r="4" spans="1:25" x14ac:dyDescent="0.25">
      <c r="A4" s="234">
        <v>20107</v>
      </c>
      <c r="B4" s="234" t="s">
        <v>234</v>
      </c>
      <c r="C4" s="235" t="s">
        <v>235</v>
      </c>
      <c r="D4" s="236">
        <v>42821</v>
      </c>
      <c r="E4" s="234">
        <v>1</v>
      </c>
      <c r="F4" s="237">
        <v>5</v>
      </c>
      <c r="G4" s="238">
        <v>190177</v>
      </c>
      <c r="H4" s="237" t="str">
        <f>VLOOKUP(E4,'[5]נתוני עזר'!$B$4:$C$7,2,FALSE)</f>
        <v>העברה בנקאית</v>
      </c>
      <c r="I4" s="239">
        <f t="shared" si="0"/>
        <v>13312.390000000001</v>
      </c>
      <c r="J4" s="239">
        <v>13312.390000000001</v>
      </c>
      <c r="K4" s="240">
        <f t="shared" si="1"/>
        <v>88432.304999999993</v>
      </c>
      <c r="L4" s="237">
        <f t="shared" si="2"/>
        <v>2017</v>
      </c>
      <c r="M4" s="241">
        <f t="shared" si="3"/>
        <v>88432.304999999993</v>
      </c>
      <c r="N4" s="242">
        <f t="shared" si="4"/>
        <v>2017</v>
      </c>
      <c r="Q4" s="237"/>
    </row>
    <row r="5" spans="1:25" x14ac:dyDescent="0.25">
      <c r="A5" s="234">
        <v>20147</v>
      </c>
      <c r="B5" s="234" t="s">
        <v>238</v>
      </c>
      <c r="C5" s="235" t="s">
        <v>239</v>
      </c>
      <c r="D5" s="236">
        <v>41824</v>
      </c>
      <c r="E5" s="234">
        <v>3</v>
      </c>
      <c r="F5" s="237">
        <v>10</v>
      </c>
      <c r="G5" s="238">
        <v>185512</v>
      </c>
      <c r="H5" s="237" t="str">
        <f>VLOOKUP(E5,'[5]נתוני עזר'!$B$4:$C$7,2,FALSE)</f>
        <v>צ'קים</v>
      </c>
      <c r="I5" s="239">
        <f t="shared" si="0"/>
        <v>16696.079999999998</v>
      </c>
      <c r="J5" s="239">
        <v>16696.079999999998</v>
      </c>
      <c r="K5" s="240">
        <f t="shared" si="1"/>
        <v>84407.96</v>
      </c>
      <c r="L5" s="237">
        <f t="shared" si="2"/>
        <v>2014</v>
      </c>
      <c r="M5" s="241">
        <f t="shared" si="3"/>
        <v>84407.96</v>
      </c>
      <c r="N5" s="242">
        <f t="shared" si="4"/>
        <v>2014</v>
      </c>
      <c r="Q5" s="237"/>
      <c r="V5" s="233"/>
      <c r="W5" s="224"/>
    </row>
    <row r="6" spans="1:25" x14ac:dyDescent="0.25">
      <c r="A6" s="234">
        <v>20104</v>
      </c>
      <c r="B6" s="234" t="s">
        <v>240</v>
      </c>
      <c r="C6" s="235" t="s">
        <v>241</v>
      </c>
      <c r="D6" s="236">
        <v>40307</v>
      </c>
      <c r="E6" s="234">
        <v>2</v>
      </c>
      <c r="F6" s="237">
        <v>8</v>
      </c>
      <c r="G6" s="238">
        <v>135549</v>
      </c>
      <c r="H6" s="237" t="str">
        <f>VLOOKUP(E6,'[5]נתוני עזר'!$B$4:$C$7,2,FALSE)</f>
        <v>מזומן</v>
      </c>
      <c r="I6" s="239">
        <f t="shared" si="0"/>
        <v>8132.94</v>
      </c>
      <c r="J6" s="239">
        <v>8132.94</v>
      </c>
      <c r="K6" s="240">
        <f t="shared" si="1"/>
        <v>63708.03</v>
      </c>
      <c r="L6" s="237">
        <f t="shared" si="2"/>
        <v>2010</v>
      </c>
      <c r="M6" s="241">
        <f t="shared" si="3"/>
        <v>63708.03</v>
      </c>
      <c r="N6" s="242">
        <f t="shared" si="4"/>
        <v>2010</v>
      </c>
      <c r="Q6" s="237"/>
      <c r="W6" s="247"/>
      <c r="X6" s="247"/>
      <c r="Y6" s="247"/>
    </row>
    <row r="7" spans="1:25" ht="14.4" thickBot="1" x14ac:dyDescent="0.3">
      <c r="A7" s="234">
        <v>20117</v>
      </c>
      <c r="B7" s="234" t="s">
        <v>242</v>
      </c>
      <c r="C7" s="235" t="s">
        <v>235</v>
      </c>
      <c r="D7" s="236">
        <v>40985</v>
      </c>
      <c r="E7" s="234">
        <v>1</v>
      </c>
      <c r="F7" s="237">
        <v>7</v>
      </c>
      <c r="G7" s="238">
        <v>199206</v>
      </c>
      <c r="H7" s="237" t="str">
        <f>VLOOKUP(E7,'[5]נתוני עזר'!$B$4:$C$7,2,FALSE)</f>
        <v>העברה בנקאית</v>
      </c>
      <c r="I7" s="239">
        <f t="shared" si="0"/>
        <v>15936.48</v>
      </c>
      <c r="J7" s="239">
        <v>15936.48</v>
      </c>
      <c r="K7" s="240">
        <f t="shared" si="1"/>
        <v>91634.76</v>
      </c>
      <c r="L7" s="237">
        <f t="shared" si="2"/>
        <v>2012</v>
      </c>
      <c r="M7" s="241">
        <f t="shared" si="3"/>
        <v>91634.76</v>
      </c>
      <c r="N7" s="242">
        <f t="shared" si="4"/>
        <v>2012</v>
      </c>
      <c r="Q7" s="237"/>
      <c r="W7" s="247"/>
      <c r="X7" s="247"/>
      <c r="Y7" s="247"/>
    </row>
    <row r="8" spans="1:25" ht="23.4" x14ac:dyDescent="0.25">
      <c r="A8" s="234">
        <v>20130</v>
      </c>
      <c r="B8" s="234" t="s">
        <v>243</v>
      </c>
      <c r="C8" s="235" t="s">
        <v>72</v>
      </c>
      <c r="D8" s="236">
        <v>38916</v>
      </c>
      <c r="E8" s="234">
        <v>5</v>
      </c>
      <c r="F8" s="237">
        <v>5</v>
      </c>
      <c r="G8" s="238">
        <v>174087</v>
      </c>
      <c r="H8" s="237" t="e">
        <f>VLOOKUP(E8,'[5]נתוני עזר'!$B$4:$C$7,2,FALSE)</f>
        <v>#N/A</v>
      </c>
      <c r="I8" s="239">
        <f t="shared" si="0"/>
        <v>12186.090000000002</v>
      </c>
      <c r="J8" s="239">
        <v>12186.090000000002</v>
      </c>
      <c r="K8" s="240">
        <f t="shared" si="1"/>
        <v>80950.455000000002</v>
      </c>
      <c r="L8" s="237">
        <f t="shared" si="2"/>
        <v>2006</v>
      </c>
      <c r="M8" s="241">
        <f t="shared" si="3"/>
        <v>80950.455000000002</v>
      </c>
      <c r="N8" s="242">
        <f t="shared" si="4"/>
        <v>2006</v>
      </c>
      <c r="Q8" s="237"/>
      <c r="R8" s="192"/>
      <c r="S8" s="184" t="s">
        <v>195</v>
      </c>
      <c r="T8" s="170"/>
      <c r="W8" s="247"/>
      <c r="X8" s="247"/>
      <c r="Y8" s="247"/>
    </row>
    <row r="9" spans="1:25" ht="18" x14ac:dyDescent="0.25">
      <c r="A9" s="234">
        <v>20148</v>
      </c>
      <c r="B9" s="234" t="s">
        <v>244</v>
      </c>
      <c r="C9" s="235" t="s">
        <v>245</v>
      </c>
      <c r="D9" s="236">
        <v>42753</v>
      </c>
      <c r="E9" s="234">
        <v>3</v>
      </c>
      <c r="F9" s="237">
        <v>7</v>
      </c>
      <c r="G9" s="238">
        <v>133032</v>
      </c>
      <c r="H9" s="237" t="str">
        <f>VLOOKUP(E9,'[5]נתוני עזר'!$B$4:$C$7,2,FALSE)</f>
        <v>צ'קים</v>
      </c>
      <c r="I9" s="239">
        <f t="shared" si="0"/>
        <v>9312.2400000000016</v>
      </c>
      <c r="J9" s="239">
        <v>9312.2400000000016</v>
      </c>
      <c r="K9" s="240">
        <f t="shared" si="1"/>
        <v>61859.88</v>
      </c>
      <c r="L9" s="237">
        <f t="shared" si="2"/>
        <v>2017</v>
      </c>
      <c r="M9" s="241">
        <f t="shared" si="3"/>
        <v>61859.88</v>
      </c>
      <c r="N9" s="242">
        <f t="shared" si="4"/>
        <v>2017</v>
      </c>
      <c r="Q9" s="237"/>
      <c r="R9" s="176">
        <v>1</v>
      </c>
      <c r="S9" s="177" t="s">
        <v>205</v>
      </c>
      <c r="T9" s="178"/>
      <c r="W9" s="247"/>
      <c r="X9" s="247"/>
      <c r="Y9" s="247"/>
    </row>
    <row r="10" spans="1:25" ht="18" x14ac:dyDescent="0.25">
      <c r="A10" s="234">
        <v>20119</v>
      </c>
      <c r="B10" s="234" t="s">
        <v>246</v>
      </c>
      <c r="C10" s="235" t="s">
        <v>247</v>
      </c>
      <c r="D10" s="236">
        <v>39352</v>
      </c>
      <c r="E10" s="234">
        <v>4</v>
      </c>
      <c r="F10" s="237">
        <v>4</v>
      </c>
      <c r="G10" s="238">
        <v>138877</v>
      </c>
      <c r="H10" s="237" t="str">
        <f>VLOOKUP(E10,'[5]נתוני עזר'!$B$4:$C$7,2,FALSE)</f>
        <v>מס"ב</v>
      </c>
      <c r="I10" s="239">
        <f t="shared" si="0"/>
        <v>9721.3900000000012</v>
      </c>
      <c r="J10" s="239">
        <v>9721.3900000000012</v>
      </c>
      <c r="K10" s="240">
        <f t="shared" si="1"/>
        <v>64577.805</v>
      </c>
      <c r="L10" s="237">
        <f t="shared" si="2"/>
        <v>2007</v>
      </c>
      <c r="M10" s="241">
        <f t="shared" si="3"/>
        <v>64577.805</v>
      </c>
      <c r="N10" s="242">
        <f t="shared" si="4"/>
        <v>2007</v>
      </c>
      <c r="Q10" s="237"/>
      <c r="R10" s="176"/>
      <c r="S10" s="177" t="s">
        <v>200</v>
      </c>
      <c r="T10" s="178"/>
      <c r="W10" s="247"/>
      <c r="X10" s="247"/>
      <c r="Y10" s="247"/>
    </row>
    <row r="11" spans="1:25" ht="28.2" x14ac:dyDescent="0.25">
      <c r="A11" s="234">
        <v>20153</v>
      </c>
      <c r="B11" s="234" t="s">
        <v>248</v>
      </c>
      <c r="C11" s="235" t="s">
        <v>70</v>
      </c>
      <c r="D11" s="236">
        <v>39411</v>
      </c>
      <c r="E11" s="234">
        <v>2</v>
      </c>
      <c r="F11" s="237">
        <v>1</v>
      </c>
      <c r="G11" s="238">
        <v>178982</v>
      </c>
      <c r="H11" s="237" t="str">
        <f>VLOOKUP(E11,'[5]נתוני עזר'!$B$4:$C$7,2,FALSE)</f>
        <v>מזומן</v>
      </c>
      <c r="I11" s="239">
        <f t="shared" si="0"/>
        <v>12528.740000000002</v>
      </c>
      <c r="J11" s="239">
        <v>12528.740000000002</v>
      </c>
      <c r="K11" s="240">
        <f t="shared" si="1"/>
        <v>83226.63</v>
      </c>
      <c r="L11" s="237">
        <f t="shared" si="2"/>
        <v>2007</v>
      </c>
      <c r="M11" s="241">
        <f t="shared" si="3"/>
        <v>83226.63</v>
      </c>
      <c r="N11" s="242">
        <f t="shared" si="4"/>
        <v>2007</v>
      </c>
      <c r="Q11" s="237"/>
      <c r="R11" s="176"/>
      <c r="S11" s="177" t="s">
        <v>196</v>
      </c>
      <c r="T11" s="178"/>
      <c r="W11" s="248"/>
      <c r="X11" s="247"/>
      <c r="Y11" s="247"/>
    </row>
    <row r="12" spans="1:25" ht="18" x14ac:dyDescent="0.25">
      <c r="A12" s="234">
        <v>20139</v>
      </c>
      <c r="B12" s="234" t="s">
        <v>249</v>
      </c>
      <c r="C12" s="235" t="s">
        <v>73</v>
      </c>
      <c r="D12" s="236">
        <v>40146</v>
      </c>
      <c r="E12" s="234">
        <v>2</v>
      </c>
      <c r="F12" s="237">
        <v>2</v>
      </c>
      <c r="G12" s="238">
        <v>102615</v>
      </c>
      <c r="H12" s="237" t="str">
        <f>VLOOKUP(E12,'[5]נתוני עזר'!$B$4:$C$7,2,FALSE)</f>
        <v>מזומן</v>
      </c>
      <c r="I12" s="239">
        <f t="shared" si="0"/>
        <v>6156.9</v>
      </c>
      <c r="J12" s="239">
        <v>6156.9</v>
      </c>
      <c r="K12" s="240">
        <f t="shared" si="1"/>
        <v>48229.05</v>
      </c>
      <c r="L12" s="237">
        <f t="shared" si="2"/>
        <v>2009</v>
      </c>
      <c r="M12" s="241">
        <f t="shared" si="3"/>
        <v>48229.05</v>
      </c>
      <c r="N12" s="242">
        <f t="shared" si="4"/>
        <v>2009</v>
      </c>
      <c r="Q12" s="237"/>
      <c r="R12" s="176"/>
      <c r="S12" s="177"/>
      <c r="T12" s="178"/>
      <c r="W12" s="247"/>
      <c r="X12" s="247"/>
      <c r="Y12" s="247"/>
    </row>
    <row r="13" spans="1:25" ht="18" x14ac:dyDescent="0.25">
      <c r="A13" s="234">
        <v>20131</v>
      </c>
      <c r="B13" s="234" t="s">
        <v>250</v>
      </c>
      <c r="C13" s="235" t="s">
        <v>235</v>
      </c>
      <c r="D13" s="236">
        <v>39878</v>
      </c>
      <c r="E13" s="234">
        <v>2</v>
      </c>
      <c r="F13" s="237">
        <v>3</v>
      </c>
      <c r="G13" s="238">
        <v>58896</v>
      </c>
      <c r="H13" s="237" t="str">
        <f>VLOOKUP(E13,'[5]נתוני עזר'!$B$4:$C$7,2,FALSE)</f>
        <v>מזומן</v>
      </c>
      <c r="I13" s="239">
        <f t="shared" si="0"/>
        <v>3533.7599999999998</v>
      </c>
      <c r="J13" s="239">
        <v>3533.7599999999998</v>
      </c>
      <c r="K13" s="240">
        <f t="shared" si="1"/>
        <v>27681.119999999999</v>
      </c>
      <c r="L13" s="237">
        <f t="shared" si="2"/>
        <v>2009</v>
      </c>
      <c r="M13" s="241">
        <f t="shared" si="3"/>
        <v>27681.119999999999</v>
      </c>
      <c r="N13" s="242">
        <f t="shared" si="4"/>
        <v>2009</v>
      </c>
      <c r="Q13" s="237"/>
      <c r="R13" s="176">
        <v>2</v>
      </c>
      <c r="S13" s="177" t="s">
        <v>197</v>
      </c>
      <c r="T13" s="178"/>
    </row>
    <row r="14" spans="1:25" ht="18" x14ac:dyDescent="0.25">
      <c r="A14" s="234">
        <v>20100</v>
      </c>
      <c r="B14" s="234" t="s">
        <v>251</v>
      </c>
      <c r="C14" s="235" t="s">
        <v>252</v>
      </c>
      <c r="D14" s="236">
        <v>40943</v>
      </c>
      <c r="E14" s="234">
        <v>4</v>
      </c>
      <c r="F14" s="237">
        <v>8</v>
      </c>
      <c r="G14" s="238">
        <v>115845</v>
      </c>
      <c r="H14" s="237" t="str">
        <f>VLOOKUP(E14,'[5]נתוני עזר'!$B$4:$C$7,2,FALSE)</f>
        <v>מס"ב</v>
      </c>
      <c r="I14" s="239">
        <f t="shared" si="0"/>
        <v>9267.6</v>
      </c>
      <c r="J14" s="239">
        <v>9267.6</v>
      </c>
      <c r="K14" s="240">
        <f t="shared" si="1"/>
        <v>53288.7</v>
      </c>
      <c r="L14" s="237">
        <f t="shared" si="2"/>
        <v>2012</v>
      </c>
      <c r="M14" s="241">
        <f t="shared" si="3"/>
        <v>53288.7</v>
      </c>
      <c r="N14" s="242">
        <f t="shared" si="4"/>
        <v>2012</v>
      </c>
      <c r="Q14" s="237"/>
      <c r="R14" s="176"/>
      <c r="S14" s="177"/>
      <c r="T14" s="178"/>
    </row>
    <row r="15" spans="1:25" ht="18" x14ac:dyDescent="0.25">
      <c r="A15" s="234">
        <v>20101</v>
      </c>
      <c r="B15" s="234" t="s">
        <v>254</v>
      </c>
      <c r="C15" s="235" t="s">
        <v>67</v>
      </c>
      <c r="D15" s="236">
        <v>42109</v>
      </c>
      <c r="E15" s="234">
        <v>1</v>
      </c>
      <c r="F15" s="237">
        <v>3</v>
      </c>
      <c r="G15" s="238">
        <v>92458</v>
      </c>
      <c r="H15" s="237" t="str">
        <f>VLOOKUP(E15,'[5]נתוני עזר'!$B$4:$C$7,2,FALSE)</f>
        <v>העברה בנקאית</v>
      </c>
      <c r="I15" s="239">
        <f t="shared" si="0"/>
        <v>3698.32</v>
      </c>
      <c r="J15" s="239">
        <v>3698.32</v>
      </c>
      <c r="K15" s="240">
        <f t="shared" si="1"/>
        <v>44379.839999999997</v>
      </c>
      <c r="L15" s="237">
        <f t="shared" si="2"/>
        <v>2015</v>
      </c>
      <c r="M15" s="241">
        <f t="shared" si="3"/>
        <v>44379.839999999997</v>
      </c>
      <c r="N15" s="242">
        <f t="shared" si="4"/>
        <v>2015</v>
      </c>
      <c r="Q15" s="237"/>
      <c r="R15" s="176">
        <v>3</v>
      </c>
      <c r="S15" s="177" t="s">
        <v>201</v>
      </c>
      <c r="T15" s="178"/>
      <c r="V15" s="247"/>
      <c r="W15" s="247"/>
    </row>
    <row r="16" spans="1:25" ht="18" x14ac:dyDescent="0.25">
      <c r="A16" s="234">
        <v>20102</v>
      </c>
      <c r="B16" s="234" t="s">
        <v>255</v>
      </c>
      <c r="C16" s="235" t="s">
        <v>235</v>
      </c>
      <c r="D16" s="236">
        <v>40302</v>
      </c>
      <c r="E16" s="234">
        <v>4</v>
      </c>
      <c r="F16" s="237">
        <v>1</v>
      </c>
      <c r="G16" s="238">
        <v>143215</v>
      </c>
      <c r="H16" s="237" t="str">
        <f>VLOOKUP(E16,'[5]נתוני עזר'!$B$4:$C$7,2,FALSE)</f>
        <v>מס"ב</v>
      </c>
      <c r="I16" s="239">
        <f t="shared" si="0"/>
        <v>8592.9</v>
      </c>
      <c r="J16" s="239">
        <v>8592.9</v>
      </c>
      <c r="K16" s="240">
        <f t="shared" si="1"/>
        <v>67311.05</v>
      </c>
      <c r="L16" s="237">
        <f t="shared" si="2"/>
        <v>2010</v>
      </c>
      <c r="M16" s="241">
        <f t="shared" si="3"/>
        <v>67311.05</v>
      </c>
      <c r="N16" s="242">
        <f t="shared" si="4"/>
        <v>2010</v>
      </c>
      <c r="Q16" s="237"/>
      <c r="R16" s="176"/>
      <c r="S16" s="177" t="s">
        <v>198</v>
      </c>
      <c r="T16" s="178" t="s">
        <v>98</v>
      </c>
      <c r="V16" s="247"/>
      <c r="W16" s="247"/>
    </row>
    <row r="17" spans="1:26" ht="18" x14ac:dyDescent="0.25">
      <c r="A17" s="234">
        <v>20126</v>
      </c>
      <c r="B17" s="234" t="s">
        <v>257</v>
      </c>
      <c r="C17" s="235" t="s">
        <v>245</v>
      </c>
      <c r="D17" s="236">
        <v>41212</v>
      </c>
      <c r="E17" s="234">
        <v>4</v>
      </c>
      <c r="F17" s="237">
        <v>4</v>
      </c>
      <c r="G17" s="238">
        <v>78785</v>
      </c>
      <c r="H17" s="237" t="str">
        <f>VLOOKUP(E17,'[5]נתוני עזר'!$B$4:$C$7,2,FALSE)</f>
        <v>מס"ב</v>
      </c>
      <c r="I17" s="239">
        <f t="shared" si="0"/>
        <v>6302.8</v>
      </c>
      <c r="J17" s="239">
        <v>6302.8</v>
      </c>
      <c r="K17" s="240">
        <f t="shared" si="1"/>
        <v>36241.1</v>
      </c>
      <c r="L17" s="237">
        <f t="shared" si="2"/>
        <v>2012</v>
      </c>
      <c r="M17" s="241">
        <f t="shared" si="3"/>
        <v>36241.1</v>
      </c>
      <c r="N17" s="242">
        <f t="shared" si="4"/>
        <v>2012</v>
      </c>
      <c r="Q17" s="237"/>
      <c r="R17" s="176"/>
      <c r="S17" s="177"/>
      <c r="T17" s="178"/>
    </row>
    <row r="18" spans="1:26" ht="18" x14ac:dyDescent="0.25">
      <c r="A18" s="234">
        <v>20154</v>
      </c>
      <c r="B18" s="234" t="s">
        <v>258</v>
      </c>
      <c r="C18" s="235" t="s">
        <v>247</v>
      </c>
      <c r="D18" s="236">
        <v>41053</v>
      </c>
      <c r="E18" s="234">
        <v>3</v>
      </c>
      <c r="F18" s="237">
        <v>2</v>
      </c>
      <c r="G18" s="238">
        <v>134373</v>
      </c>
      <c r="H18" s="237" t="str">
        <f>VLOOKUP(E18,'[5]נתוני עזר'!$B$4:$C$7,2,FALSE)</f>
        <v>צ'קים</v>
      </c>
      <c r="I18" s="239">
        <f t="shared" si="0"/>
        <v>10749.84</v>
      </c>
      <c r="J18" s="239">
        <v>10749.84</v>
      </c>
      <c r="K18" s="240">
        <f t="shared" si="1"/>
        <v>61811.58</v>
      </c>
      <c r="L18" s="237">
        <f t="shared" si="2"/>
        <v>2012</v>
      </c>
      <c r="M18" s="241">
        <f t="shared" si="3"/>
        <v>61811.58</v>
      </c>
      <c r="N18" s="242">
        <f t="shared" si="4"/>
        <v>2012</v>
      </c>
      <c r="Q18" s="237"/>
      <c r="R18" s="176"/>
      <c r="S18" s="177" t="s">
        <v>202</v>
      </c>
      <c r="T18" s="178" t="s">
        <v>99</v>
      </c>
    </row>
    <row r="19" spans="1:26" ht="18" x14ac:dyDescent="0.25">
      <c r="A19" s="234">
        <v>20128</v>
      </c>
      <c r="B19" s="234" t="s">
        <v>259</v>
      </c>
      <c r="C19" s="235" t="s">
        <v>252</v>
      </c>
      <c r="D19" s="236">
        <v>42769</v>
      </c>
      <c r="E19" s="234">
        <v>3</v>
      </c>
      <c r="F19" s="237">
        <v>5</v>
      </c>
      <c r="G19" s="238">
        <v>126383</v>
      </c>
      <c r="H19" s="237" t="str">
        <f>VLOOKUP(E19,'[5]נתוני עזר'!$B$4:$C$7,2,FALSE)</f>
        <v>צ'קים</v>
      </c>
      <c r="I19" s="239">
        <f t="shared" si="0"/>
        <v>8846.8100000000013</v>
      </c>
      <c r="J19" s="239">
        <v>8846.8100000000013</v>
      </c>
      <c r="K19" s="240">
        <f t="shared" si="1"/>
        <v>58768.095000000001</v>
      </c>
      <c r="L19" s="237">
        <f t="shared" si="2"/>
        <v>2017</v>
      </c>
      <c r="M19" s="241">
        <f t="shared" si="3"/>
        <v>58768.095000000001</v>
      </c>
      <c r="N19" s="242">
        <f t="shared" si="4"/>
        <v>2017</v>
      </c>
      <c r="Q19" s="237"/>
      <c r="R19" s="176"/>
      <c r="S19" s="177"/>
      <c r="T19" s="178"/>
      <c r="V19" s="247"/>
      <c r="W19" s="247"/>
    </row>
    <row r="20" spans="1:26" ht="18.600000000000001" thickBot="1" x14ac:dyDescent="0.3">
      <c r="A20" s="234">
        <v>20120</v>
      </c>
      <c r="B20" s="234" t="s">
        <v>260</v>
      </c>
      <c r="C20" s="235" t="s">
        <v>252</v>
      </c>
      <c r="D20" s="236">
        <v>41949</v>
      </c>
      <c r="E20" s="234">
        <v>2</v>
      </c>
      <c r="F20" s="237">
        <v>5</v>
      </c>
      <c r="G20" s="238">
        <v>89915</v>
      </c>
      <c r="H20" s="237" t="str">
        <f>VLOOKUP(E20,'[5]נתוני עזר'!$B$4:$C$7,2,FALSE)</f>
        <v>מזומן</v>
      </c>
      <c r="I20" s="239">
        <f t="shared" si="0"/>
        <v>8092.3499999999995</v>
      </c>
      <c r="J20" s="239">
        <v>8092.3499999999995</v>
      </c>
      <c r="K20" s="240">
        <f t="shared" si="1"/>
        <v>40911.324999999997</v>
      </c>
      <c r="L20" s="237">
        <f t="shared" si="2"/>
        <v>2014</v>
      </c>
      <c r="M20" s="241">
        <f t="shared" si="3"/>
        <v>40911.324999999997</v>
      </c>
      <c r="N20" s="242">
        <f t="shared" si="4"/>
        <v>2014</v>
      </c>
      <c r="Q20" s="237"/>
      <c r="R20" s="179"/>
      <c r="S20" s="180" t="s">
        <v>199</v>
      </c>
      <c r="T20" s="181" t="s">
        <v>101</v>
      </c>
      <c r="W20" s="247"/>
      <c r="X20" s="247"/>
      <c r="Y20" s="247"/>
    </row>
    <row r="21" spans="1:26" x14ac:dyDescent="0.25">
      <c r="A21" s="234">
        <v>20149</v>
      </c>
      <c r="B21" s="234" t="s">
        <v>261</v>
      </c>
      <c r="C21" s="235" t="s">
        <v>239</v>
      </c>
      <c r="D21" s="236">
        <v>40200</v>
      </c>
      <c r="E21" s="234">
        <v>4</v>
      </c>
      <c r="F21" s="237">
        <v>3</v>
      </c>
      <c r="G21" s="238">
        <v>55426</v>
      </c>
      <c r="H21" s="237" t="str">
        <f>VLOOKUP(E21,'[5]נתוני עזר'!$B$4:$C$7,2,FALSE)</f>
        <v>מס"ב</v>
      </c>
      <c r="I21" s="239">
        <f t="shared" si="0"/>
        <v>3325.56</v>
      </c>
      <c r="J21" s="239">
        <v>3325.56</v>
      </c>
      <c r="K21" s="240">
        <f t="shared" si="1"/>
        <v>26050.22</v>
      </c>
      <c r="L21" s="237">
        <f t="shared" si="2"/>
        <v>2010</v>
      </c>
      <c r="M21" s="241">
        <f t="shared" si="3"/>
        <v>26050.22</v>
      </c>
      <c r="N21" s="242">
        <f t="shared" si="4"/>
        <v>2010</v>
      </c>
      <c r="Q21" s="237"/>
      <c r="T21" s="249"/>
    </row>
    <row r="22" spans="1:26" x14ac:dyDescent="0.25">
      <c r="A22" s="234">
        <v>20112</v>
      </c>
      <c r="B22" s="234" t="s">
        <v>262</v>
      </c>
      <c r="C22" s="235" t="s">
        <v>263</v>
      </c>
      <c r="D22" s="236">
        <v>39997</v>
      </c>
      <c r="E22" s="234">
        <v>1</v>
      </c>
      <c r="F22" s="237">
        <v>10</v>
      </c>
      <c r="G22" s="238">
        <v>146318</v>
      </c>
      <c r="H22" s="237" t="str">
        <f>VLOOKUP(E22,'[5]נתוני עזר'!$B$4:$C$7,2,FALSE)</f>
        <v>העברה בנקאית</v>
      </c>
      <c r="I22" s="239">
        <f t="shared" si="0"/>
        <v>8779.08</v>
      </c>
      <c r="J22" s="239">
        <v>8779.08</v>
      </c>
      <c r="K22" s="240">
        <f t="shared" si="1"/>
        <v>68769.460000000006</v>
      </c>
      <c r="L22" s="237">
        <f t="shared" si="2"/>
        <v>2009</v>
      </c>
      <c r="M22" s="241">
        <f t="shared" si="3"/>
        <v>68769.460000000006</v>
      </c>
      <c r="N22" s="242">
        <f t="shared" si="4"/>
        <v>2009</v>
      </c>
      <c r="Q22" s="237"/>
      <c r="T22" s="249"/>
    </row>
    <row r="23" spans="1:26" x14ac:dyDescent="0.25">
      <c r="A23" s="234">
        <v>20113</v>
      </c>
      <c r="B23" s="234" t="s">
        <v>264</v>
      </c>
      <c r="C23" s="235" t="s">
        <v>247</v>
      </c>
      <c r="D23" s="236">
        <v>40360</v>
      </c>
      <c r="E23" s="234">
        <v>4</v>
      </c>
      <c r="F23" s="237">
        <v>5</v>
      </c>
      <c r="G23" s="238">
        <v>89582</v>
      </c>
      <c r="H23" s="237" t="str">
        <f>VLOOKUP(E23,'[5]נתוני עזר'!$B$4:$C$7,2,FALSE)</f>
        <v>מס"ב</v>
      </c>
      <c r="I23" s="239">
        <f t="shared" si="0"/>
        <v>5374.92</v>
      </c>
      <c r="J23" s="239">
        <v>5374.92</v>
      </c>
      <c r="K23" s="240">
        <f t="shared" si="1"/>
        <v>42103.54</v>
      </c>
      <c r="L23" s="237">
        <f t="shared" si="2"/>
        <v>2010</v>
      </c>
      <c r="M23" s="241">
        <f t="shared" si="3"/>
        <v>42103.54</v>
      </c>
      <c r="N23" s="242">
        <f t="shared" si="4"/>
        <v>2010</v>
      </c>
      <c r="Q23" s="237"/>
      <c r="T23" s="249"/>
      <c r="Y23" s="247"/>
      <c r="Z23" s="247"/>
    </row>
    <row r="24" spans="1:26" x14ac:dyDescent="0.25">
      <c r="A24" s="234">
        <v>20140</v>
      </c>
      <c r="B24" s="234" t="s">
        <v>265</v>
      </c>
      <c r="C24" s="235" t="s">
        <v>67</v>
      </c>
      <c r="D24" s="236">
        <v>41293</v>
      </c>
      <c r="E24" s="234">
        <v>4</v>
      </c>
      <c r="F24" s="237">
        <v>6</v>
      </c>
      <c r="G24" s="238">
        <v>76295</v>
      </c>
      <c r="H24" s="237" t="str">
        <f>VLOOKUP(E24,'[5]נתוני עזר'!$B$4:$C$7,2,FALSE)</f>
        <v>מס"ב</v>
      </c>
      <c r="I24" s="239">
        <f t="shared" si="0"/>
        <v>6866.55</v>
      </c>
      <c r="J24" s="239">
        <v>6866.55</v>
      </c>
      <c r="K24" s="240">
        <f t="shared" si="1"/>
        <v>34714.224999999999</v>
      </c>
      <c r="L24" s="237">
        <f t="shared" si="2"/>
        <v>2013</v>
      </c>
      <c r="M24" s="241">
        <f t="shared" si="3"/>
        <v>34714.224999999999</v>
      </c>
      <c r="N24" s="242">
        <f t="shared" si="4"/>
        <v>2013</v>
      </c>
      <c r="P24" s="233"/>
      <c r="Q24" s="237"/>
      <c r="R24" s="224"/>
      <c r="S24" s="224"/>
      <c r="T24" s="249"/>
    </row>
    <row r="25" spans="1:26" x14ac:dyDescent="0.25">
      <c r="A25" s="234">
        <v>20121</v>
      </c>
      <c r="B25" s="234" t="s">
        <v>266</v>
      </c>
      <c r="C25" s="235" t="s">
        <v>73</v>
      </c>
      <c r="D25" s="236">
        <v>39248</v>
      </c>
      <c r="E25" s="234">
        <v>1</v>
      </c>
      <c r="F25" s="237">
        <v>10</v>
      </c>
      <c r="G25" s="238">
        <v>71037</v>
      </c>
      <c r="H25" s="237" t="str">
        <f>VLOOKUP(E25,'[5]נתוני עזר'!$B$4:$C$7,2,FALSE)</f>
        <v>העברה בנקאית</v>
      </c>
      <c r="I25" s="239">
        <f t="shared" si="0"/>
        <v>4972.59</v>
      </c>
      <c r="J25" s="239">
        <v>4972.59</v>
      </c>
      <c r="K25" s="240">
        <f t="shared" si="1"/>
        <v>33032.205000000002</v>
      </c>
      <c r="L25" s="237">
        <f t="shared" si="2"/>
        <v>2007</v>
      </c>
      <c r="M25" s="241">
        <f t="shared" si="3"/>
        <v>33032.205000000002</v>
      </c>
      <c r="N25" s="242">
        <f t="shared" si="4"/>
        <v>2007</v>
      </c>
      <c r="Q25" s="237"/>
      <c r="T25" s="249"/>
    </row>
    <row r="26" spans="1:26" x14ac:dyDescent="0.25">
      <c r="A26" s="234">
        <v>20155</v>
      </c>
      <c r="B26" s="234" t="s">
        <v>267</v>
      </c>
      <c r="C26" s="235" t="s">
        <v>245</v>
      </c>
      <c r="D26" s="236">
        <v>41402</v>
      </c>
      <c r="E26" s="234">
        <v>4</v>
      </c>
      <c r="F26" s="237">
        <v>2</v>
      </c>
      <c r="G26" s="238">
        <v>100268</v>
      </c>
      <c r="H26" s="237" t="str">
        <f>VLOOKUP(E26,'[5]נתוני עזר'!$B$4:$C$7,2,FALSE)</f>
        <v>מס"ב</v>
      </c>
      <c r="I26" s="239">
        <f t="shared" si="0"/>
        <v>9024.119999999999</v>
      </c>
      <c r="J26" s="239">
        <v>9024.119999999999</v>
      </c>
      <c r="K26" s="240">
        <f t="shared" si="1"/>
        <v>45621.94</v>
      </c>
      <c r="L26" s="237">
        <f t="shared" si="2"/>
        <v>2013</v>
      </c>
      <c r="M26" s="241">
        <f t="shared" si="3"/>
        <v>45621.94</v>
      </c>
      <c r="N26" s="242">
        <f t="shared" si="4"/>
        <v>2013</v>
      </c>
      <c r="Q26" s="237"/>
      <c r="T26" s="249"/>
    </row>
    <row r="27" spans="1:26" x14ac:dyDescent="0.25">
      <c r="A27" s="234">
        <v>20141</v>
      </c>
      <c r="B27" s="234" t="s">
        <v>268</v>
      </c>
      <c r="C27" s="235" t="s">
        <v>245</v>
      </c>
      <c r="D27" s="236">
        <v>42837</v>
      </c>
      <c r="E27" s="234">
        <v>3</v>
      </c>
      <c r="F27" s="237">
        <v>8</v>
      </c>
      <c r="G27" s="238">
        <v>174120</v>
      </c>
      <c r="H27" s="237" t="str">
        <f>VLOOKUP(E27,'[5]נתוני עזר'!$B$4:$C$7,2,FALSE)</f>
        <v>צ'קים</v>
      </c>
      <c r="I27" s="239">
        <f t="shared" si="0"/>
        <v>12188.400000000001</v>
      </c>
      <c r="J27" s="239">
        <v>12188.400000000001</v>
      </c>
      <c r="K27" s="240">
        <f t="shared" si="1"/>
        <v>80965.8</v>
      </c>
      <c r="L27" s="237">
        <f t="shared" si="2"/>
        <v>2017</v>
      </c>
      <c r="M27" s="241">
        <f t="shared" si="3"/>
        <v>80965.8</v>
      </c>
      <c r="N27" s="242">
        <f t="shared" si="4"/>
        <v>2017</v>
      </c>
      <c r="Q27" s="237"/>
      <c r="V27" s="247"/>
      <c r="W27" s="247"/>
    </row>
    <row r="28" spans="1:26" x14ac:dyDescent="0.25">
      <c r="A28" s="234">
        <v>20124</v>
      </c>
      <c r="B28" s="234" t="s">
        <v>269</v>
      </c>
      <c r="C28" s="235" t="s">
        <v>70</v>
      </c>
      <c r="D28" s="236">
        <v>39693</v>
      </c>
      <c r="E28" s="234">
        <v>2</v>
      </c>
      <c r="F28" s="237">
        <v>9</v>
      </c>
      <c r="G28" s="238">
        <v>151094</v>
      </c>
      <c r="H28" s="237" t="str">
        <f>VLOOKUP(E28,'[5]נתוני עזר'!$B$4:$C$7,2,FALSE)</f>
        <v>מזומן</v>
      </c>
      <c r="I28" s="239">
        <f t="shared" si="0"/>
        <v>10576.580000000002</v>
      </c>
      <c r="J28" s="239">
        <v>10576.580000000002</v>
      </c>
      <c r="K28" s="240">
        <f t="shared" si="1"/>
        <v>70258.709999999992</v>
      </c>
      <c r="L28" s="237">
        <f t="shared" si="2"/>
        <v>2008</v>
      </c>
      <c r="M28" s="241">
        <f t="shared" si="3"/>
        <v>70258.709999999992</v>
      </c>
      <c r="N28" s="242">
        <f t="shared" si="4"/>
        <v>2008</v>
      </c>
      <c r="Q28" s="237"/>
    </row>
    <row r="29" spans="1:26" x14ac:dyDescent="0.25">
      <c r="A29" s="234">
        <v>20105</v>
      </c>
      <c r="B29" s="234" t="s">
        <v>270</v>
      </c>
      <c r="C29" s="235" t="s">
        <v>271</v>
      </c>
      <c r="D29" s="236">
        <v>42145</v>
      </c>
      <c r="E29" s="234">
        <v>3</v>
      </c>
      <c r="F29" s="237">
        <v>9</v>
      </c>
      <c r="G29" s="238">
        <v>80471</v>
      </c>
      <c r="H29" s="237" t="str">
        <f>VLOOKUP(E29,'[5]נתוני עזר'!$B$4:$C$7,2,FALSE)</f>
        <v>צ'קים</v>
      </c>
      <c r="I29" s="239">
        <f t="shared" si="0"/>
        <v>3218.84</v>
      </c>
      <c r="J29" s="239">
        <v>3218.84</v>
      </c>
      <c r="K29" s="240">
        <f t="shared" si="1"/>
        <v>38626.080000000002</v>
      </c>
      <c r="L29" s="237">
        <f t="shared" si="2"/>
        <v>2015</v>
      </c>
      <c r="M29" s="241">
        <f t="shared" si="3"/>
        <v>38626.080000000002</v>
      </c>
      <c r="N29" s="242">
        <f t="shared" si="4"/>
        <v>2015</v>
      </c>
      <c r="Q29" s="237"/>
      <c r="S29" s="247"/>
      <c r="T29" s="247"/>
    </row>
    <row r="30" spans="1:26" x14ac:dyDescent="0.25">
      <c r="A30" s="234">
        <v>20142</v>
      </c>
      <c r="B30" s="234" t="s">
        <v>272</v>
      </c>
      <c r="C30" s="235" t="s">
        <v>74</v>
      </c>
      <c r="D30" s="236">
        <v>41870</v>
      </c>
      <c r="E30" s="234">
        <v>5</v>
      </c>
      <c r="F30" s="237">
        <v>10</v>
      </c>
      <c r="G30" s="238">
        <v>192182</v>
      </c>
      <c r="H30" s="237" t="e">
        <f>VLOOKUP(E30,'[5]נתוני עזר'!$B$4:$C$7,2,FALSE)</f>
        <v>#N/A</v>
      </c>
      <c r="I30" s="239">
        <f t="shared" si="0"/>
        <v>17296.38</v>
      </c>
      <c r="J30" s="239">
        <v>17296.38</v>
      </c>
      <c r="K30" s="240">
        <f t="shared" si="1"/>
        <v>87442.81</v>
      </c>
      <c r="L30" s="237">
        <f t="shared" si="2"/>
        <v>2014</v>
      </c>
      <c r="M30" s="241">
        <f t="shared" si="3"/>
        <v>87442.81</v>
      </c>
      <c r="N30" s="242">
        <f t="shared" si="4"/>
        <v>2014</v>
      </c>
      <c r="Q30" s="237"/>
    </row>
    <row r="31" spans="1:26" x14ac:dyDescent="0.25">
      <c r="A31" s="234">
        <v>20115</v>
      </c>
      <c r="B31" s="234" t="s">
        <v>273</v>
      </c>
      <c r="C31" s="235" t="s">
        <v>252</v>
      </c>
      <c r="D31" s="236">
        <v>41844</v>
      </c>
      <c r="E31" s="234">
        <v>1</v>
      </c>
      <c r="F31" s="237">
        <v>2</v>
      </c>
      <c r="G31" s="238">
        <v>163171</v>
      </c>
      <c r="H31" s="237" t="str">
        <f>VLOOKUP(E31,'[5]נתוני עזר'!$B$4:$C$7,2,FALSE)</f>
        <v>העברה בנקאית</v>
      </c>
      <c r="I31" s="239">
        <f t="shared" si="0"/>
        <v>14685.39</v>
      </c>
      <c r="J31" s="239">
        <v>14685.39</v>
      </c>
      <c r="K31" s="240">
        <f t="shared" si="1"/>
        <v>74242.804999999993</v>
      </c>
      <c r="L31" s="237">
        <f t="shared" si="2"/>
        <v>2014</v>
      </c>
      <c r="M31" s="241">
        <f t="shared" si="3"/>
        <v>74242.804999999993</v>
      </c>
      <c r="N31" s="242">
        <f t="shared" si="4"/>
        <v>2014</v>
      </c>
      <c r="Q31" s="237"/>
      <c r="X31" s="247"/>
      <c r="Y31" s="250"/>
    </row>
    <row r="32" spans="1:26" x14ac:dyDescent="0.25">
      <c r="A32" s="234">
        <v>20108</v>
      </c>
      <c r="B32" s="234" t="s">
        <v>274</v>
      </c>
      <c r="C32" s="235" t="s">
        <v>239</v>
      </c>
      <c r="D32" s="236">
        <v>41274</v>
      </c>
      <c r="E32" s="234">
        <v>4</v>
      </c>
      <c r="F32" s="237">
        <v>3</v>
      </c>
      <c r="G32" s="238">
        <v>135523</v>
      </c>
      <c r="H32" s="237" t="str">
        <f>VLOOKUP(E32,'[5]נתוני עזר'!$B$4:$C$7,2,FALSE)</f>
        <v>מס"ב</v>
      </c>
      <c r="I32" s="239">
        <f t="shared" si="0"/>
        <v>10841.84</v>
      </c>
      <c r="J32" s="239">
        <v>10841.84</v>
      </c>
      <c r="K32" s="240">
        <f t="shared" si="1"/>
        <v>62340.58</v>
      </c>
      <c r="L32" s="237">
        <f t="shared" si="2"/>
        <v>2012</v>
      </c>
      <c r="M32" s="241">
        <f t="shared" si="3"/>
        <v>62340.58</v>
      </c>
      <c r="N32" s="242">
        <f t="shared" si="4"/>
        <v>2012</v>
      </c>
      <c r="Q32" s="237"/>
    </row>
    <row r="33" spans="1:25" x14ac:dyDescent="0.25">
      <c r="A33" s="234">
        <v>20109</v>
      </c>
      <c r="B33" s="234" t="s">
        <v>275</v>
      </c>
      <c r="C33" s="235" t="s">
        <v>74</v>
      </c>
      <c r="D33" s="236">
        <v>43053</v>
      </c>
      <c r="E33" s="234">
        <v>5</v>
      </c>
      <c r="F33" s="237">
        <v>3</v>
      </c>
      <c r="G33" s="238">
        <v>151959</v>
      </c>
      <c r="H33" s="237" t="e">
        <f>VLOOKUP(E33,'[5]נתוני עזר'!$B$4:$C$7,2,FALSE)</f>
        <v>#N/A</v>
      </c>
      <c r="I33" s="239">
        <f t="shared" si="0"/>
        <v>10637.130000000001</v>
      </c>
      <c r="J33" s="239">
        <v>10637.130000000001</v>
      </c>
      <c r="K33" s="240">
        <f t="shared" si="1"/>
        <v>70660.934999999998</v>
      </c>
      <c r="L33" s="237">
        <f t="shared" si="2"/>
        <v>2017</v>
      </c>
      <c r="M33" s="241">
        <f t="shared" si="3"/>
        <v>70660.934999999998</v>
      </c>
      <c r="N33" s="242">
        <f t="shared" si="4"/>
        <v>2017</v>
      </c>
      <c r="Q33" s="237"/>
    </row>
    <row r="34" spans="1:25" x14ac:dyDescent="0.25">
      <c r="A34" s="234">
        <v>20110</v>
      </c>
      <c r="B34" s="234" t="s">
        <v>276</v>
      </c>
      <c r="C34" s="235" t="s">
        <v>72</v>
      </c>
      <c r="D34" s="236">
        <v>39899</v>
      </c>
      <c r="E34" s="234">
        <v>4</v>
      </c>
      <c r="F34" s="237">
        <v>3</v>
      </c>
      <c r="G34" s="238">
        <v>198056</v>
      </c>
      <c r="H34" s="237" t="str">
        <f>VLOOKUP(E34,'[5]נתוני עזר'!$B$4:$C$7,2,FALSE)</f>
        <v>מס"ב</v>
      </c>
      <c r="I34" s="239">
        <f t="shared" ref="I34:I65" si="5">G34*IF(YEAR(D34)&lt;=$D$73,$E$82,IF(YEAR(D34)&lt;=$D$74,$E$74,IF(YEAR(D34)&lt;=$D$76,$E$76,IF(YEAR(D34)&lt;=$D$78,$E$78,IF(YEAR(D34)&lt;=$D$80,$E$80,$E$82)))))</f>
        <v>11883.359999999999</v>
      </c>
      <c r="J34" s="239">
        <v>11883.359999999999</v>
      </c>
      <c r="K34" s="240">
        <f t="shared" ref="K34:K65" si="6">(G34-I34)/$R$3</f>
        <v>93086.32</v>
      </c>
      <c r="L34" s="237">
        <f t="shared" ref="L34:L65" si="7">YEAR(D34)</f>
        <v>2009</v>
      </c>
      <c r="M34" s="241">
        <f t="shared" ref="M34:M65" si="8">(G34-I34)/$R$3</f>
        <v>93086.32</v>
      </c>
      <c r="N34" s="242">
        <f t="shared" ref="N34:N65" si="9">YEAR(D34)</f>
        <v>2009</v>
      </c>
      <c r="Q34" s="237"/>
    </row>
    <row r="35" spans="1:25" x14ac:dyDescent="0.25">
      <c r="A35" s="234">
        <v>20122</v>
      </c>
      <c r="B35" s="234" t="s">
        <v>277</v>
      </c>
      <c r="C35" s="235" t="s">
        <v>252</v>
      </c>
      <c r="D35" s="236">
        <v>39730</v>
      </c>
      <c r="E35" s="234">
        <v>3</v>
      </c>
      <c r="F35" s="237">
        <v>2</v>
      </c>
      <c r="G35" s="238">
        <v>173625</v>
      </c>
      <c r="H35" s="237" t="str">
        <f>VLOOKUP(E35,'[5]נתוני עזר'!$B$4:$C$7,2,FALSE)</f>
        <v>צ'קים</v>
      </c>
      <c r="I35" s="239">
        <f t="shared" si="5"/>
        <v>12153.750000000002</v>
      </c>
      <c r="J35" s="239">
        <v>12153.750000000002</v>
      </c>
      <c r="K35" s="240">
        <f t="shared" si="6"/>
        <v>80735.625</v>
      </c>
      <c r="L35" s="237">
        <f t="shared" si="7"/>
        <v>2008</v>
      </c>
      <c r="M35" s="241">
        <f t="shared" si="8"/>
        <v>80735.625</v>
      </c>
      <c r="N35" s="242">
        <f t="shared" si="9"/>
        <v>2008</v>
      </c>
      <c r="Q35" s="237"/>
      <c r="S35" s="247"/>
      <c r="T35" s="247"/>
    </row>
    <row r="36" spans="1:25" x14ac:dyDescent="0.25">
      <c r="A36" s="234">
        <v>20114</v>
      </c>
      <c r="B36" s="234" t="s">
        <v>278</v>
      </c>
      <c r="C36" s="235" t="s">
        <v>252</v>
      </c>
      <c r="D36" s="236">
        <v>42204</v>
      </c>
      <c r="E36" s="234">
        <v>2</v>
      </c>
      <c r="F36" s="237">
        <v>7</v>
      </c>
      <c r="G36" s="238">
        <v>78874</v>
      </c>
      <c r="H36" s="237" t="str">
        <f>VLOOKUP(E36,'[5]נתוני עזר'!$B$4:$C$7,2,FALSE)</f>
        <v>מזומן</v>
      </c>
      <c r="I36" s="239">
        <f t="shared" si="5"/>
        <v>3154.96</v>
      </c>
      <c r="J36" s="239">
        <v>3154.96</v>
      </c>
      <c r="K36" s="240">
        <f t="shared" si="6"/>
        <v>37859.519999999997</v>
      </c>
      <c r="L36" s="237">
        <f t="shared" si="7"/>
        <v>2015</v>
      </c>
      <c r="M36" s="241">
        <f t="shared" si="8"/>
        <v>37859.519999999997</v>
      </c>
      <c r="N36" s="242">
        <f t="shared" si="9"/>
        <v>2015</v>
      </c>
      <c r="Q36" s="237"/>
      <c r="W36" s="247"/>
      <c r="X36" s="247"/>
    </row>
    <row r="37" spans="1:25" x14ac:dyDescent="0.25">
      <c r="A37" s="234">
        <v>20156</v>
      </c>
      <c r="B37" s="234" t="s">
        <v>279</v>
      </c>
      <c r="C37" s="235" t="s">
        <v>247</v>
      </c>
      <c r="D37" s="236">
        <v>40991</v>
      </c>
      <c r="E37" s="234">
        <v>2</v>
      </c>
      <c r="F37" s="237">
        <v>1</v>
      </c>
      <c r="G37" s="238">
        <v>110947</v>
      </c>
      <c r="H37" s="237" t="str">
        <f>VLOOKUP(E37,'[5]נתוני עזר'!$B$4:$C$7,2,FALSE)</f>
        <v>מזומן</v>
      </c>
      <c r="I37" s="239">
        <f t="shared" si="5"/>
        <v>8875.76</v>
      </c>
      <c r="J37" s="239">
        <v>8875.76</v>
      </c>
      <c r="K37" s="240">
        <f t="shared" si="6"/>
        <v>51035.62</v>
      </c>
      <c r="L37" s="237">
        <f t="shared" si="7"/>
        <v>2012</v>
      </c>
      <c r="M37" s="241">
        <f t="shared" si="8"/>
        <v>51035.62</v>
      </c>
      <c r="N37" s="242">
        <f t="shared" si="9"/>
        <v>2012</v>
      </c>
      <c r="Q37" s="237"/>
      <c r="X37" s="247"/>
      <c r="Y37" s="251"/>
    </row>
    <row r="38" spans="1:25" x14ac:dyDescent="0.25">
      <c r="A38" s="234">
        <v>20125</v>
      </c>
      <c r="B38" s="234" t="s">
        <v>280</v>
      </c>
      <c r="C38" s="235" t="s">
        <v>241</v>
      </c>
      <c r="D38" s="236">
        <v>38782</v>
      </c>
      <c r="E38" s="234">
        <v>3</v>
      </c>
      <c r="F38" s="237">
        <v>4</v>
      </c>
      <c r="G38" s="238">
        <v>194622</v>
      </c>
      <c r="H38" s="237" t="str">
        <f>VLOOKUP(E38,'[5]נתוני עזר'!$B$4:$C$7,2,FALSE)</f>
        <v>צ'קים</v>
      </c>
      <c r="I38" s="239">
        <f t="shared" si="5"/>
        <v>13623.54</v>
      </c>
      <c r="J38" s="239">
        <v>13623.54</v>
      </c>
      <c r="K38" s="240">
        <f t="shared" si="6"/>
        <v>90499.23</v>
      </c>
      <c r="L38" s="237">
        <f t="shared" si="7"/>
        <v>2006</v>
      </c>
      <c r="M38" s="241">
        <f t="shared" si="8"/>
        <v>90499.23</v>
      </c>
      <c r="N38" s="242">
        <f t="shared" si="9"/>
        <v>2006</v>
      </c>
      <c r="Q38" s="237"/>
      <c r="X38" s="247"/>
      <c r="Y38" s="250"/>
    </row>
    <row r="39" spans="1:25" x14ac:dyDescent="0.25">
      <c r="A39" s="234">
        <v>20132</v>
      </c>
      <c r="B39" s="234" t="s">
        <v>281</v>
      </c>
      <c r="C39" s="235" t="s">
        <v>74</v>
      </c>
      <c r="D39" s="236">
        <v>40782</v>
      </c>
      <c r="E39" s="234">
        <v>5</v>
      </c>
      <c r="F39" s="237">
        <v>4</v>
      </c>
      <c r="G39" s="238">
        <v>133542</v>
      </c>
      <c r="H39" s="237" t="e">
        <f>VLOOKUP(E39,'[5]נתוני עזר'!$B$4:$C$7,2,FALSE)</f>
        <v>#N/A</v>
      </c>
      <c r="I39" s="239">
        <f t="shared" si="5"/>
        <v>10683.36</v>
      </c>
      <c r="J39" s="239">
        <v>10683.36</v>
      </c>
      <c r="K39" s="240">
        <f t="shared" si="6"/>
        <v>61429.32</v>
      </c>
      <c r="L39" s="237">
        <f t="shared" si="7"/>
        <v>2011</v>
      </c>
      <c r="M39" s="241">
        <f t="shared" si="8"/>
        <v>61429.32</v>
      </c>
      <c r="N39" s="242">
        <f t="shared" si="9"/>
        <v>2011</v>
      </c>
      <c r="Q39" s="237"/>
      <c r="X39" s="247"/>
      <c r="Y39" s="250"/>
    </row>
    <row r="40" spans="1:25" x14ac:dyDescent="0.25">
      <c r="A40" s="234">
        <v>20133</v>
      </c>
      <c r="B40" s="234" t="s">
        <v>282</v>
      </c>
      <c r="C40" s="235" t="s">
        <v>252</v>
      </c>
      <c r="D40" s="236">
        <v>41646</v>
      </c>
      <c r="E40" s="234">
        <v>3</v>
      </c>
      <c r="F40" s="237">
        <v>10</v>
      </c>
      <c r="G40" s="238">
        <v>75605</v>
      </c>
      <c r="H40" s="237" t="str">
        <f>VLOOKUP(E40,'[5]נתוני עזר'!$B$4:$C$7,2,FALSE)</f>
        <v>צ'קים</v>
      </c>
      <c r="I40" s="239">
        <f t="shared" si="5"/>
        <v>6804.45</v>
      </c>
      <c r="J40" s="239">
        <v>6804.45</v>
      </c>
      <c r="K40" s="240">
        <f t="shared" si="6"/>
        <v>34400.275000000001</v>
      </c>
      <c r="L40" s="237">
        <f t="shared" si="7"/>
        <v>2014</v>
      </c>
      <c r="M40" s="241">
        <f t="shared" si="8"/>
        <v>34400.275000000001</v>
      </c>
      <c r="N40" s="242">
        <f t="shared" si="9"/>
        <v>2014</v>
      </c>
      <c r="Q40" s="237"/>
      <c r="X40" s="247"/>
      <c r="Y40" s="250"/>
    </row>
    <row r="41" spans="1:25" x14ac:dyDescent="0.25">
      <c r="A41" s="234">
        <v>20123</v>
      </c>
      <c r="B41" s="234" t="s">
        <v>283</v>
      </c>
      <c r="C41" s="235" t="s">
        <v>235</v>
      </c>
      <c r="D41" s="236">
        <v>42394</v>
      </c>
      <c r="E41" s="234">
        <v>4</v>
      </c>
      <c r="F41" s="237">
        <v>5</v>
      </c>
      <c r="G41" s="238">
        <v>165842</v>
      </c>
      <c r="H41" s="237" t="str">
        <f>VLOOKUP(E41,'[5]נתוני עזר'!$B$4:$C$7,2,FALSE)</f>
        <v>מס"ב</v>
      </c>
      <c r="I41" s="239">
        <f t="shared" si="5"/>
        <v>6633.68</v>
      </c>
      <c r="J41" s="239">
        <v>6633.68</v>
      </c>
      <c r="K41" s="240">
        <f t="shared" si="6"/>
        <v>79604.160000000003</v>
      </c>
      <c r="L41" s="237">
        <f t="shared" si="7"/>
        <v>2016</v>
      </c>
      <c r="M41" s="241">
        <f t="shared" si="8"/>
        <v>79604.160000000003</v>
      </c>
      <c r="N41" s="242">
        <f t="shared" si="9"/>
        <v>2016</v>
      </c>
      <c r="Q41" s="237"/>
      <c r="X41" s="247"/>
      <c r="Y41" s="250"/>
    </row>
    <row r="42" spans="1:25" x14ac:dyDescent="0.25">
      <c r="A42" s="234">
        <v>20150</v>
      </c>
      <c r="B42" s="234" t="s">
        <v>284</v>
      </c>
      <c r="C42" s="235" t="s">
        <v>252</v>
      </c>
      <c r="D42" s="236">
        <v>39651</v>
      </c>
      <c r="E42" s="234">
        <v>1</v>
      </c>
      <c r="F42" s="237">
        <v>1</v>
      </c>
      <c r="G42" s="238">
        <v>67325</v>
      </c>
      <c r="H42" s="237" t="str">
        <f>VLOOKUP(E42,'[5]נתוני עזר'!$B$4:$C$7,2,FALSE)</f>
        <v>העברה בנקאית</v>
      </c>
      <c r="I42" s="239">
        <f t="shared" si="5"/>
        <v>4712.75</v>
      </c>
      <c r="J42" s="239">
        <v>4712.75</v>
      </c>
      <c r="K42" s="240">
        <f t="shared" si="6"/>
        <v>31306.125</v>
      </c>
      <c r="L42" s="237">
        <f t="shared" si="7"/>
        <v>2008</v>
      </c>
      <c r="M42" s="241">
        <f t="shared" si="8"/>
        <v>31306.125</v>
      </c>
      <c r="N42" s="242">
        <f t="shared" si="9"/>
        <v>2008</v>
      </c>
      <c r="Q42" s="237"/>
      <c r="X42" s="247"/>
      <c r="Y42" s="250"/>
    </row>
    <row r="43" spans="1:25" x14ac:dyDescent="0.25">
      <c r="A43" s="234">
        <v>20127</v>
      </c>
      <c r="B43" s="234" t="s">
        <v>285</v>
      </c>
      <c r="C43" s="235" t="s">
        <v>72</v>
      </c>
      <c r="D43" s="236">
        <v>38857</v>
      </c>
      <c r="E43" s="234">
        <v>3</v>
      </c>
      <c r="F43" s="237">
        <v>6</v>
      </c>
      <c r="G43" s="238">
        <v>128037</v>
      </c>
      <c r="H43" s="237" t="str">
        <f>VLOOKUP(E43,'[5]נתוני עזר'!$B$4:$C$7,2,FALSE)</f>
        <v>צ'קים</v>
      </c>
      <c r="I43" s="239">
        <f t="shared" si="5"/>
        <v>8962.59</v>
      </c>
      <c r="J43" s="239">
        <v>8962.59</v>
      </c>
      <c r="K43" s="240">
        <f t="shared" si="6"/>
        <v>59537.205000000002</v>
      </c>
      <c r="L43" s="237">
        <f t="shared" si="7"/>
        <v>2006</v>
      </c>
      <c r="M43" s="241">
        <f t="shared" si="8"/>
        <v>59537.205000000002</v>
      </c>
      <c r="N43" s="242">
        <f t="shared" si="9"/>
        <v>2006</v>
      </c>
      <c r="Q43" s="237"/>
      <c r="X43" s="247"/>
      <c r="Y43" s="250"/>
    </row>
    <row r="44" spans="1:25" x14ac:dyDescent="0.25">
      <c r="A44" s="234">
        <v>20111</v>
      </c>
      <c r="B44" s="234" t="s">
        <v>286</v>
      </c>
      <c r="C44" s="235" t="s">
        <v>245</v>
      </c>
      <c r="D44" s="236">
        <v>42187</v>
      </c>
      <c r="E44" s="234">
        <v>1</v>
      </c>
      <c r="F44" s="237">
        <v>1</v>
      </c>
      <c r="G44" s="238">
        <v>183655</v>
      </c>
      <c r="H44" s="237" t="str">
        <f>VLOOKUP(E44,'[5]נתוני עזר'!$B$4:$C$7,2,FALSE)</f>
        <v>העברה בנקאית</v>
      </c>
      <c r="I44" s="239">
        <f t="shared" si="5"/>
        <v>7346.2</v>
      </c>
      <c r="J44" s="239">
        <v>7346.2</v>
      </c>
      <c r="K44" s="240">
        <f t="shared" si="6"/>
        <v>88154.4</v>
      </c>
      <c r="L44" s="237">
        <f t="shared" si="7"/>
        <v>2015</v>
      </c>
      <c r="M44" s="241">
        <f t="shared" si="8"/>
        <v>88154.4</v>
      </c>
      <c r="N44" s="242">
        <f t="shared" si="9"/>
        <v>2015</v>
      </c>
      <c r="Q44" s="237"/>
      <c r="X44" s="247"/>
      <c r="Y44" s="250"/>
    </row>
    <row r="45" spans="1:25" x14ac:dyDescent="0.25">
      <c r="A45" s="234">
        <v>20151</v>
      </c>
      <c r="B45" s="234" t="s">
        <v>287</v>
      </c>
      <c r="C45" s="235" t="s">
        <v>239</v>
      </c>
      <c r="D45" s="236">
        <v>40368</v>
      </c>
      <c r="E45" s="234">
        <v>1</v>
      </c>
      <c r="F45" s="237">
        <v>7</v>
      </c>
      <c r="G45" s="238">
        <v>69698</v>
      </c>
      <c r="H45" s="237" t="str">
        <f>VLOOKUP(E45,'[5]נתוני עזר'!$B$4:$C$7,2,FALSE)</f>
        <v>העברה בנקאית</v>
      </c>
      <c r="I45" s="239">
        <f t="shared" si="5"/>
        <v>4181.88</v>
      </c>
      <c r="J45" s="239">
        <v>4181.88</v>
      </c>
      <c r="K45" s="240">
        <f t="shared" si="6"/>
        <v>32758.06</v>
      </c>
      <c r="L45" s="237">
        <f t="shared" si="7"/>
        <v>2010</v>
      </c>
      <c r="M45" s="241">
        <f t="shared" si="8"/>
        <v>32758.06</v>
      </c>
      <c r="N45" s="242">
        <f t="shared" si="9"/>
        <v>2010</v>
      </c>
      <c r="Q45" s="237"/>
      <c r="X45" s="247"/>
      <c r="Y45" s="250"/>
    </row>
    <row r="46" spans="1:25" x14ac:dyDescent="0.25">
      <c r="A46" s="234">
        <v>20152</v>
      </c>
      <c r="B46" s="234" t="s">
        <v>288</v>
      </c>
      <c r="C46" s="235" t="s">
        <v>72</v>
      </c>
      <c r="D46" s="236">
        <v>39430</v>
      </c>
      <c r="E46" s="234">
        <v>3</v>
      </c>
      <c r="F46" s="237">
        <v>9</v>
      </c>
      <c r="G46" s="238">
        <v>157573</v>
      </c>
      <c r="H46" s="237" t="str">
        <f>VLOOKUP(E46,'[5]נתוני עזר'!$B$4:$C$7,2,FALSE)</f>
        <v>צ'קים</v>
      </c>
      <c r="I46" s="239">
        <f t="shared" si="5"/>
        <v>11030.11</v>
      </c>
      <c r="J46" s="239">
        <v>11030.11</v>
      </c>
      <c r="K46" s="240">
        <f t="shared" si="6"/>
        <v>73271.445000000007</v>
      </c>
      <c r="L46" s="237">
        <f t="shared" si="7"/>
        <v>2007</v>
      </c>
      <c r="M46" s="241">
        <f t="shared" si="8"/>
        <v>73271.445000000007</v>
      </c>
      <c r="N46" s="242">
        <f t="shared" si="9"/>
        <v>2007</v>
      </c>
      <c r="Q46" s="237"/>
      <c r="T46" s="247"/>
      <c r="U46" s="250"/>
      <c r="X46" s="247"/>
      <c r="Y46" s="250"/>
    </row>
    <row r="47" spans="1:25" x14ac:dyDescent="0.25">
      <c r="A47" s="234">
        <v>20134</v>
      </c>
      <c r="B47" s="234" t="s">
        <v>289</v>
      </c>
      <c r="C47" s="235" t="s">
        <v>263</v>
      </c>
      <c r="D47" s="236">
        <v>39708</v>
      </c>
      <c r="E47" s="234">
        <v>3</v>
      </c>
      <c r="F47" s="237">
        <v>1</v>
      </c>
      <c r="G47" s="238">
        <v>79729</v>
      </c>
      <c r="H47" s="237" t="str">
        <f>VLOOKUP(E47,'[5]נתוני עזר'!$B$4:$C$7,2,FALSE)</f>
        <v>צ'קים</v>
      </c>
      <c r="I47" s="239">
        <f t="shared" si="5"/>
        <v>5581.0300000000007</v>
      </c>
      <c r="J47" s="239">
        <v>5581.0300000000007</v>
      </c>
      <c r="K47" s="240">
        <f t="shared" si="6"/>
        <v>37073.985000000001</v>
      </c>
      <c r="L47" s="237">
        <f t="shared" si="7"/>
        <v>2008</v>
      </c>
      <c r="M47" s="241">
        <f t="shared" si="8"/>
        <v>37073.985000000001</v>
      </c>
      <c r="N47" s="242">
        <f t="shared" si="9"/>
        <v>2008</v>
      </c>
      <c r="Q47" s="237"/>
    </row>
    <row r="48" spans="1:25" x14ac:dyDescent="0.25">
      <c r="A48" s="234">
        <v>20157</v>
      </c>
      <c r="B48" s="234" t="s">
        <v>290</v>
      </c>
      <c r="C48" s="235" t="s">
        <v>73</v>
      </c>
      <c r="D48" s="236">
        <v>38876</v>
      </c>
      <c r="E48" s="234">
        <v>2</v>
      </c>
      <c r="F48" s="237">
        <v>9</v>
      </c>
      <c r="G48" s="238">
        <v>75869</v>
      </c>
      <c r="H48" s="237" t="str">
        <f>VLOOKUP(E48,'[5]נתוני עזר'!$B$4:$C$7,2,FALSE)</f>
        <v>מזומן</v>
      </c>
      <c r="I48" s="239">
        <f t="shared" si="5"/>
        <v>5310.8300000000008</v>
      </c>
      <c r="J48" s="239">
        <v>5310.8300000000008</v>
      </c>
      <c r="K48" s="240">
        <f t="shared" si="6"/>
        <v>35279.084999999999</v>
      </c>
      <c r="L48" s="237">
        <f t="shared" si="7"/>
        <v>2006</v>
      </c>
      <c r="M48" s="241">
        <f t="shared" si="8"/>
        <v>35279.084999999999</v>
      </c>
      <c r="N48" s="242">
        <f t="shared" si="9"/>
        <v>2006</v>
      </c>
      <c r="Q48" s="237"/>
    </row>
    <row r="49" spans="1:17" x14ac:dyDescent="0.25">
      <c r="A49" s="234">
        <v>20158</v>
      </c>
      <c r="B49" s="234" t="s">
        <v>291</v>
      </c>
      <c r="C49" s="235" t="s">
        <v>252</v>
      </c>
      <c r="D49" s="236">
        <v>39287</v>
      </c>
      <c r="E49" s="234">
        <v>3</v>
      </c>
      <c r="F49" s="237">
        <v>6</v>
      </c>
      <c r="G49" s="238">
        <v>124264</v>
      </c>
      <c r="H49" s="237" t="str">
        <f>VLOOKUP(E49,'[5]נתוני עזר'!$B$4:$C$7,2,FALSE)</f>
        <v>צ'קים</v>
      </c>
      <c r="I49" s="239">
        <f t="shared" si="5"/>
        <v>8698.4800000000014</v>
      </c>
      <c r="J49" s="239">
        <v>8698.4800000000014</v>
      </c>
      <c r="K49" s="240">
        <f t="shared" si="6"/>
        <v>57782.76</v>
      </c>
      <c r="L49" s="237">
        <f t="shared" si="7"/>
        <v>2007</v>
      </c>
      <c r="M49" s="241">
        <f t="shared" si="8"/>
        <v>57782.76</v>
      </c>
      <c r="N49" s="242">
        <f t="shared" si="9"/>
        <v>2007</v>
      </c>
      <c r="Q49" s="237"/>
    </row>
    <row r="50" spans="1:17" x14ac:dyDescent="0.25">
      <c r="A50" s="234">
        <v>20118</v>
      </c>
      <c r="B50" s="234" t="s">
        <v>292</v>
      </c>
      <c r="C50" s="235" t="s">
        <v>74</v>
      </c>
      <c r="D50" s="236">
        <v>41536</v>
      </c>
      <c r="E50" s="234">
        <v>4</v>
      </c>
      <c r="F50" s="237">
        <v>5</v>
      </c>
      <c r="G50" s="238">
        <v>61489</v>
      </c>
      <c r="H50" s="237" t="str">
        <f>VLOOKUP(E50,'[5]נתוני עזר'!$B$4:$C$7,2,FALSE)</f>
        <v>מס"ב</v>
      </c>
      <c r="I50" s="239">
        <f t="shared" si="5"/>
        <v>5534.01</v>
      </c>
      <c r="J50" s="239">
        <v>5534.01</v>
      </c>
      <c r="K50" s="240">
        <f t="shared" si="6"/>
        <v>27977.494999999999</v>
      </c>
      <c r="L50" s="237">
        <f t="shared" si="7"/>
        <v>2013</v>
      </c>
      <c r="M50" s="241">
        <f t="shared" si="8"/>
        <v>27977.494999999999</v>
      </c>
      <c r="N50" s="242">
        <f t="shared" si="9"/>
        <v>2013</v>
      </c>
      <c r="Q50" s="237"/>
    </row>
    <row r="51" spans="1:17" x14ac:dyDescent="0.25">
      <c r="A51" s="234">
        <v>20143</v>
      </c>
      <c r="B51" s="234" t="s">
        <v>293</v>
      </c>
      <c r="C51" s="235" t="s">
        <v>67</v>
      </c>
      <c r="D51" s="236">
        <v>38966</v>
      </c>
      <c r="E51" s="234">
        <v>2</v>
      </c>
      <c r="F51" s="237">
        <v>5</v>
      </c>
      <c r="G51" s="238">
        <v>199670</v>
      </c>
      <c r="H51" s="237" t="str">
        <f>VLOOKUP(E51,'[5]נתוני עזר'!$B$4:$C$7,2,FALSE)</f>
        <v>מזומן</v>
      </c>
      <c r="I51" s="239">
        <f t="shared" si="5"/>
        <v>13976.900000000001</v>
      </c>
      <c r="J51" s="239">
        <v>13976.900000000001</v>
      </c>
      <c r="K51" s="240">
        <f t="shared" si="6"/>
        <v>92846.55</v>
      </c>
      <c r="L51" s="237">
        <f t="shared" si="7"/>
        <v>2006</v>
      </c>
      <c r="M51" s="241">
        <f t="shared" si="8"/>
        <v>92846.55</v>
      </c>
      <c r="N51" s="242">
        <f t="shared" si="9"/>
        <v>2006</v>
      </c>
      <c r="Q51" s="237"/>
    </row>
    <row r="52" spans="1:17" x14ac:dyDescent="0.25">
      <c r="A52" s="234">
        <v>20129</v>
      </c>
      <c r="B52" s="234" t="s">
        <v>294</v>
      </c>
      <c r="C52" s="235" t="s">
        <v>271</v>
      </c>
      <c r="D52" s="236">
        <v>42361</v>
      </c>
      <c r="E52" s="234">
        <v>3</v>
      </c>
      <c r="F52" s="237">
        <v>9</v>
      </c>
      <c r="G52" s="238">
        <v>160646</v>
      </c>
      <c r="H52" s="237" t="str">
        <f>VLOOKUP(E52,'[5]נתוני עזר'!$B$4:$C$7,2,FALSE)</f>
        <v>צ'קים</v>
      </c>
      <c r="I52" s="239">
        <f t="shared" si="5"/>
        <v>6425.84</v>
      </c>
      <c r="J52" s="239">
        <v>6425.84</v>
      </c>
      <c r="K52" s="240">
        <f t="shared" si="6"/>
        <v>77110.080000000002</v>
      </c>
      <c r="L52" s="237">
        <f t="shared" si="7"/>
        <v>2015</v>
      </c>
      <c r="M52" s="241">
        <f t="shared" si="8"/>
        <v>77110.080000000002</v>
      </c>
      <c r="N52" s="242">
        <f t="shared" si="9"/>
        <v>2015</v>
      </c>
      <c r="Q52" s="237"/>
    </row>
    <row r="53" spans="1:17" x14ac:dyDescent="0.25">
      <c r="A53" s="234">
        <v>20159</v>
      </c>
      <c r="B53" s="234" t="s">
        <v>295</v>
      </c>
      <c r="C53" s="235" t="s">
        <v>73</v>
      </c>
      <c r="D53" s="236">
        <v>39688</v>
      </c>
      <c r="E53" s="234">
        <v>4</v>
      </c>
      <c r="F53" s="237">
        <v>10</v>
      </c>
      <c r="G53" s="238">
        <v>188588</v>
      </c>
      <c r="H53" s="237" t="str">
        <f>VLOOKUP(E53,'[5]נתוני עזר'!$B$4:$C$7,2,FALSE)</f>
        <v>מס"ב</v>
      </c>
      <c r="I53" s="239">
        <f t="shared" si="5"/>
        <v>13201.160000000002</v>
      </c>
      <c r="J53" s="239">
        <v>13201.160000000002</v>
      </c>
      <c r="K53" s="240">
        <f t="shared" si="6"/>
        <v>87693.42</v>
      </c>
      <c r="L53" s="237">
        <f t="shared" si="7"/>
        <v>2008</v>
      </c>
      <c r="M53" s="241">
        <f t="shared" si="8"/>
        <v>87693.42</v>
      </c>
      <c r="N53" s="242">
        <f t="shared" si="9"/>
        <v>2008</v>
      </c>
      <c r="Q53" s="237"/>
    </row>
    <row r="54" spans="1:17" x14ac:dyDescent="0.25">
      <c r="A54" s="234">
        <v>20144</v>
      </c>
      <c r="B54" s="234" t="s">
        <v>298</v>
      </c>
      <c r="C54" s="235" t="s">
        <v>252</v>
      </c>
      <c r="D54" s="236">
        <v>43084</v>
      </c>
      <c r="E54" s="234">
        <v>2</v>
      </c>
      <c r="F54" s="237">
        <v>9</v>
      </c>
      <c r="G54" s="238">
        <v>161030</v>
      </c>
      <c r="H54" s="237" t="str">
        <f>VLOOKUP(E54,'[5]נתוני עזר'!$B$4:$C$7,2,FALSE)</f>
        <v>מזומן</v>
      </c>
      <c r="I54" s="239">
        <f t="shared" si="5"/>
        <v>11272.1</v>
      </c>
      <c r="J54" s="239">
        <v>11272.1</v>
      </c>
      <c r="K54" s="240">
        <f t="shared" si="6"/>
        <v>74878.95</v>
      </c>
      <c r="L54" s="237">
        <f t="shared" si="7"/>
        <v>2017</v>
      </c>
      <c r="M54" s="241">
        <f t="shared" si="8"/>
        <v>74878.95</v>
      </c>
      <c r="N54" s="242">
        <f t="shared" si="9"/>
        <v>2017</v>
      </c>
      <c r="Q54" s="237"/>
    </row>
    <row r="55" spans="1:17" x14ac:dyDescent="0.25">
      <c r="A55" s="234">
        <v>20135</v>
      </c>
      <c r="B55" s="234" t="s">
        <v>299</v>
      </c>
      <c r="C55" s="235" t="s">
        <v>252</v>
      </c>
      <c r="D55" s="236">
        <v>41473</v>
      </c>
      <c r="E55" s="234">
        <v>4</v>
      </c>
      <c r="F55" s="237">
        <v>6</v>
      </c>
      <c r="G55" s="238">
        <v>65506</v>
      </c>
      <c r="H55" s="237" t="str">
        <f>VLOOKUP(E55,'[5]נתוני עזר'!$B$4:$C$7,2,FALSE)</f>
        <v>מס"ב</v>
      </c>
      <c r="I55" s="239">
        <f t="shared" si="5"/>
        <v>5895.54</v>
      </c>
      <c r="J55" s="239">
        <v>5895.54</v>
      </c>
      <c r="K55" s="240">
        <f t="shared" si="6"/>
        <v>29805.23</v>
      </c>
      <c r="L55" s="237">
        <f t="shared" si="7"/>
        <v>2013</v>
      </c>
      <c r="M55" s="241">
        <f t="shared" si="8"/>
        <v>29805.23</v>
      </c>
      <c r="N55" s="242">
        <f t="shared" si="9"/>
        <v>2013</v>
      </c>
      <c r="Q55" s="237"/>
    </row>
    <row r="56" spans="1:17" x14ac:dyDescent="0.25">
      <c r="A56" s="234">
        <v>20136</v>
      </c>
      <c r="B56" s="234" t="s">
        <v>300</v>
      </c>
      <c r="C56" s="235" t="s">
        <v>271</v>
      </c>
      <c r="D56" s="236">
        <v>42448</v>
      </c>
      <c r="E56" s="234">
        <v>2</v>
      </c>
      <c r="F56" s="237">
        <v>2</v>
      </c>
      <c r="G56" s="238">
        <v>157943</v>
      </c>
      <c r="H56" s="237" t="str">
        <f>VLOOKUP(E56,'[5]נתוני עזר'!$B$4:$C$7,2,FALSE)</f>
        <v>מזומן</v>
      </c>
      <c r="I56" s="239">
        <f t="shared" si="5"/>
        <v>6317.72</v>
      </c>
      <c r="J56" s="239">
        <v>6317.72</v>
      </c>
      <c r="K56" s="240">
        <f t="shared" si="6"/>
        <v>75812.639999999999</v>
      </c>
      <c r="L56" s="237">
        <f t="shared" si="7"/>
        <v>2016</v>
      </c>
      <c r="M56" s="241">
        <f t="shared" si="8"/>
        <v>75812.639999999999</v>
      </c>
      <c r="N56" s="242">
        <f t="shared" si="9"/>
        <v>2016</v>
      </c>
      <c r="Q56" s="237"/>
    </row>
    <row r="57" spans="1:17" x14ac:dyDescent="0.25">
      <c r="A57" s="234">
        <v>20145</v>
      </c>
      <c r="B57" s="234" t="s">
        <v>301</v>
      </c>
      <c r="C57" s="235" t="s">
        <v>72</v>
      </c>
      <c r="D57" s="236">
        <v>39688</v>
      </c>
      <c r="E57" s="234">
        <v>1</v>
      </c>
      <c r="F57" s="237">
        <v>6</v>
      </c>
      <c r="G57" s="238">
        <v>52386</v>
      </c>
      <c r="H57" s="237" t="str">
        <f>VLOOKUP(E57,'[5]נתוני עזר'!$B$4:$C$7,2,FALSE)</f>
        <v>העברה בנקאית</v>
      </c>
      <c r="I57" s="239">
        <f t="shared" si="5"/>
        <v>3667.0200000000004</v>
      </c>
      <c r="J57" s="239">
        <v>3667.0200000000004</v>
      </c>
      <c r="K57" s="240">
        <f t="shared" si="6"/>
        <v>24359.489999999998</v>
      </c>
      <c r="L57" s="237">
        <f t="shared" si="7"/>
        <v>2008</v>
      </c>
      <c r="M57" s="241">
        <f t="shared" si="8"/>
        <v>24359.489999999998</v>
      </c>
      <c r="N57" s="242">
        <f t="shared" si="9"/>
        <v>2008</v>
      </c>
      <c r="Q57" s="237"/>
    </row>
    <row r="58" spans="1:17" x14ac:dyDescent="0.25">
      <c r="A58" s="234">
        <v>20160</v>
      </c>
      <c r="B58" s="234" t="s">
        <v>302</v>
      </c>
      <c r="C58" s="235" t="s">
        <v>235</v>
      </c>
      <c r="D58" s="236">
        <v>39522</v>
      </c>
      <c r="E58" s="234">
        <v>4</v>
      </c>
      <c r="F58" s="237">
        <v>2</v>
      </c>
      <c r="G58" s="238">
        <v>85300</v>
      </c>
      <c r="H58" s="237" t="str">
        <f>VLOOKUP(E58,'[5]נתוני עזר'!$B$4:$C$7,2,FALSE)</f>
        <v>מס"ב</v>
      </c>
      <c r="I58" s="239">
        <f t="shared" si="5"/>
        <v>5971.0000000000009</v>
      </c>
      <c r="J58" s="239">
        <v>5971.0000000000009</v>
      </c>
      <c r="K58" s="240">
        <f t="shared" si="6"/>
        <v>39664.5</v>
      </c>
      <c r="L58" s="237">
        <f t="shared" si="7"/>
        <v>2008</v>
      </c>
      <c r="M58" s="241">
        <f t="shared" si="8"/>
        <v>39664.5</v>
      </c>
      <c r="N58" s="242">
        <f t="shared" si="9"/>
        <v>2008</v>
      </c>
      <c r="Q58" s="237"/>
    </row>
    <row r="59" spans="1:17" x14ac:dyDescent="0.25">
      <c r="A59" s="234">
        <v>20137</v>
      </c>
      <c r="B59" s="234" t="s">
        <v>303</v>
      </c>
      <c r="C59" s="235" t="s">
        <v>252</v>
      </c>
      <c r="D59" s="236">
        <v>41243</v>
      </c>
      <c r="E59" s="234">
        <v>4</v>
      </c>
      <c r="F59" s="237">
        <v>1</v>
      </c>
      <c r="G59" s="238">
        <v>157479</v>
      </c>
      <c r="H59" s="237" t="str">
        <f>VLOOKUP(E59,'[5]נתוני עזר'!$B$4:$C$7,2,FALSE)</f>
        <v>מס"ב</v>
      </c>
      <c r="I59" s="239">
        <f t="shared" si="5"/>
        <v>12598.32</v>
      </c>
      <c r="J59" s="239">
        <v>12598.32</v>
      </c>
      <c r="K59" s="240">
        <f t="shared" si="6"/>
        <v>72440.34</v>
      </c>
      <c r="L59" s="237">
        <f t="shared" si="7"/>
        <v>2012</v>
      </c>
      <c r="M59" s="241">
        <f t="shared" si="8"/>
        <v>72440.34</v>
      </c>
      <c r="N59" s="242">
        <f t="shared" si="9"/>
        <v>2012</v>
      </c>
      <c r="Q59" s="237"/>
    </row>
    <row r="60" spans="1:17" x14ac:dyDescent="0.25">
      <c r="A60" s="234">
        <v>20116</v>
      </c>
      <c r="B60" s="234" t="s">
        <v>304</v>
      </c>
      <c r="C60" s="235" t="s">
        <v>263</v>
      </c>
      <c r="D60" s="236">
        <v>38973</v>
      </c>
      <c r="E60" s="234">
        <v>1</v>
      </c>
      <c r="F60" s="237">
        <v>4</v>
      </c>
      <c r="G60" s="238">
        <v>180892</v>
      </c>
      <c r="H60" s="237" t="str">
        <f>VLOOKUP(E60,'[5]נתוני עזר'!$B$4:$C$7,2,FALSE)</f>
        <v>העברה בנקאית</v>
      </c>
      <c r="I60" s="239">
        <f t="shared" si="5"/>
        <v>12662.44</v>
      </c>
      <c r="J60" s="239">
        <v>12662.44</v>
      </c>
      <c r="K60" s="240">
        <f t="shared" si="6"/>
        <v>84114.78</v>
      </c>
      <c r="L60" s="237">
        <f t="shared" si="7"/>
        <v>2006</v>
      </c>
      <c r="M60" s="241">
        <f t="shared" si="8"/>
        <v>84114.78</v>
      </c>
      <c r="N60" s="242">
        <f t="shared" si="9"/>
        <v>2006</v>
      </c>
      <c r="Q60" s="237"/>
    </row>
    <row r="61" spans="1:17" x14ac:dyDescent="0.25">
      <c r="A61" s="234">
        <v>20161</v>
      </c>
      <c r="B61" s="234" t="s">
        <v>305</v>
      </c>
      <c r="C61" s="235" t="s">
        <v>247</v>
      </c>
      <c r="D61" s="236">
        <v>39662</v>
      </c>
      <c r="E61" s="234">
        <v>3</v>
      </c>
      <c r="F61" s="237">
        <v>2</v>
      </c>
      <c r="G61" s="238">
        <v>87755</v>
      </c>
      <c r="H61" s="237" t="str">
        <f>VLOOKUP(E61,'[5]נתוני עזר'!$B$4:$C$7,2,FALSE)</f>
        <v>צ'קים</v>
      </c>
      <c r="I61" s="239">
        <f t="shared" si="5"/>
        <v>6142.85</v>
      </c>
      <c r="J61" s="239">
        <v>6142.85</v>
      </c>
      <c r="K61" s="240">
        <f t="shared" si="6"/>
        <v>40806.074999999997</v>
      </c>
      <c r="L61" s="237">
        <f t="shared" si="7"/>
        <v>2008</v>
      </c>
      <c r="M61" s="241">
        <f t="shared" si="8"/>
        <v>40806.074999999997</v>
      </c>
      <c r="N61" s="242">
        <f t="shared" si="9"/>
        <v>2008</v>
      </c>
      <c r="Q61" s="237"/>
    </row>
    <row r="62" spans="1:17" x14ac:dyDescent="0.25">
      <c r="A62" s="234">
        <v>20146</v>
      </c>
      <c r="B62" s="234" t="s">
        <v>306</v>
      </c>
      <c r="C62" s="235" t="s">
        <v>67</v>
      </c>
      <c r="D62" s="236">
        <v>39448</v>
      </c>
      <c r="E62" s="234">
        <v>5</v>
      </c>
      <c r="F62" s="237">
        <v>8</v>
      </c>
      <c r="G62" s="238">
        <v>119848</v>
      </c>
      <c r="H62" s="237" t="e">
        <f>VLOOKUP(E62,'[5]נתוני עזר'!$B$4:$C$7,2,FALSE)</f>
        <v>#N/A</v>
      </c>
      <c r="I62" s="239">
        <f t="shared" si="5"/>
        <v>8389.36</v>
      </c>
      <c r="J62" s="239">
        <v>8389.36</v>
      </c>
      <c r="K62" s="240">
        <f t="shared" si="6"/>
        <v>55729.32</v>
      </c>
      <c r="L62" s="237">
        <f t="shared" si="7"/>
        <v>2008</v>
      </c>
      <c r="M62" s="241">
        <f t="shared" si="8"/>
        <v>55729.32</v>
      </c>
      <c r="N62" s="242">
        <f t="shared" si="9"/>
        <v>2008</v>
      </c>
      <c r="Q62" s="237"/>
    </row>
    <row r="63" spans="1:17" x14ac:dyDescent="0.25">
      <c r="A63" s="234">
        <v>20106</v>
      </c>
      <c r="B63" s="234" t="s">
        <v>307</v>
      </c>
      <c r="C63" s="235" t="s">
        <v>67</v>
      </c>
      <c r="D63" s="236">
        <v>41649</v>
      </c>
      <c r="E63" s="234">
        <v>2</v>
      </c>
      <c r="F63" s="237">
        <v>3</v>
      </c>
      <c r="G63" s="238">
        <v>168416</v>
      </c>
      <c r="H63" s="237" t="str">
        <f>VLOOKUP(E63,'[5]נתוני עזר'!$B$4:$C$7,2,FALSE)</f>
        <v>מזומן</v>
      </c>
      <c r="I63" s="239">
        <f t="shared" si="5"/>
        <v>15157.439999999999</v>
      </c>
      <c r="J63" s="239">
        <v>15157.439999999999</v>
      </c>
      <c r="K63" s="240">
        <f t="shared" si="6"/>
        <v>76629.279999999999</v>
      </c>
      <c r="L63" s="237">
        <f t="shared" si="7"/>
        <v>2014</v>
      </c>
      <c r="M63" s="241">
        <f t="shared" si="8"/>
        <v>76629.279999999999</v>
      </c>
      <c r="N63" s="242">
        <f t="shared" si="9"/>
        <v>2014</v>
      </c>
      <c r="Q63" s="237"/>
    </row>
    <row r="64" spans="1:17" x14ac:dyDescent="0.25">
      <c r="A64" s="234">
        <v>20162</v>
      </c>
      <c r="B64" s="234" t="s">
        <v>308</v>
      </c>
      <c r="C64" s="235" t="s">
        <v>74</v>
      </c>
      <c r="D64" s="236">
        <v>40285</v>
      </c>
      <c r="E64" s="234">
        <v>1</v>
      </c>
      <c r="F64" s="237">
        <v>5</v>
      </c>
      <c r="G64" s="238">
        <v>179795</v>
      </c>
      <c r="H64" s="237" t="str">
        <f>VLOOKUP(E64,'[5]נתוני עזר'!$B$4:$C$7,2,FALSE)</f>
        <v>העברה בנקאית</v>
      </c>
      <c r="I64" s="239">
        <f t="shared" si="5"/>
        <v>10787.699999999999</v>
      </c>
      <c r="J64" s="239">
        <v>10787.699999999999</v>
      </c>
      <c r="K64" s="240">
        <f t="shared" si="6"/>
        <v>84503.65</v>
      </c>
      <c r="L64" s="237">
        <f t="shared" si="7"/>
        <v>2010</v>
      </c>
      <c r="M64" s="241">
        <f t="shared" si="8"/>
        <v>84503.65</v>
      </c>
      <c r="N64" s="242">
        <f t="shared" si="9"/>
        <v>2010</v>
      </c>
      <c r="Q64" s="237"/>
    </row>
    <row r="65" spans="1:17" ht="14.4" thickBot="1" x14ac:dyDescent="0.3">
      <c r="A65" s="234">
        <v>20163</v>
      </c>
      <c r="B65" s="234" t="s">
        <v>309</v>
      </c>
      <c r="C65" s="252" t="s">
        <v>72</v>
      </c>
      <c r="D65" s="253">
        <v>39892</v>
      </c>
      <c r="E65" s="254">
        <v>3</v>
      </c>
      <c r="F65" s="255">
        <v>5</v>
      </c>
      <c r="G65" s="256">
        <v>69566</v>
      </c>
      <c r="H65" s="255" t="str">
        <f>VLOOKUP(E65,'[5]נתוני עזר'!$B$4:$C$7,2,FALSE)</f>
        <v>צ'קים</v>
      </c>
      <c r="I65" s="257">
        <f t="shared" si="5"/>
        <v>4173.96</v>
      </c>
      <c r="J65" s="257">
        <v>4173.96</v>
      </c>
      <c r="K65" s="258">
        <f t="shared" si="6"/>
        <v>32696.02</v>
      </c>
      <c r="L65" s="255">
        <f t="shared" si="7"/>
        <v>2009</v>
      </c>
      <c r="M65" s="259">
        <f t="shared" si="8"/>
        <v>32696.02</v>
      </c>
      <c r="N65" s="246">
        <f t="shared" si="9"/>
        <v>2009</v>
      </c>
      <c r="Q65" s="237"/>
    </row>
    <row r="66" spans="1:17" x14ac:dyDescent="0.25">
      <c r="Q66" s="237"/>
    </row>
    <row r="67" spans="1:17" x14ac:dyDescent="0.25">
      <c r="D67" s="260"/>
      <c r="Q67" s="237"/>
    </row>
    <row r="68" spans="1:17" x14ac:dyDescent="0.25">
      <c r="D68" s="260"/>
      <c r="Q68" s="237"/>
    </row>
    <row r="69" spans="1:17" x14ac:dyDescent="0.25">
      <c r="D69" s="260"/>
      <c r="Q69" s="237"/>
    </row>
    <row r="70" spans="1:17" x14ac:dyDescent="0.25">
      <c r="Q70" s="237"/>
    </row>
    <row r="71" spans="1:17" x14ac:dyDescent="0.25">
      <c r="Q71" s="237"/>
    </row>
    <row r="72" spans="1:17" x14ac:dyDescent="0.25">
      <c r="C72" s="261" t="s">
        <v>236</v>
      </c>
      <c r="D72" s="261" t="s">
        <v>237</v>
      </c>
      <c r="Q72" s="237"/>
    </row>
    <row r="73" spans="1:17" x14ac:dyDescent="0.25">
      <c r="D73" s="262">
        <v>2008</v>
      </c>
      <c r="E73" s="263"/>
      <c r="Q73" s="237"/>
    </row>
    <row r="74" spans="1:17" x14ac:dyDescent="0.25">
      <c r="D74" s="264">
        <v>2010</v>
      </c>
      <c r="E74" s="265">
        <v>0.06</v>
      </c>
      <c r="Q74" s="237"/>
    </row>
    <row r="75" spans="1:17" x14ac:dyDescent="0.25">
      <c r="D75" s="264"/>
      <c r="E75" s="263"/>
      <c r="Q75" s="237"/>
    </row>
    <row r="76" spans="1:17" x14ac:dyDescent="0.25">
      <c r="D76" s="264">
        <v>2012</v>
      </c>
      <c r="E76" s="265">
        <v>0.08</v>
      </c>
      <c r="Q76" s="237"/>
    </row>
    <row r="77" spans="1:17" x14ac:dyDescent="0.25">
      <c r="D77" s="264"/>
      <c r="E77" s="263"/>
      <c r="Q77" s="237"/>
    </row>
    <row r="78" spans="1:17" x14ac:dyDescent="0.25">
      <c r="D78" s="264">
        <v>2014</v>
      </c>
      <c r="E78" s="265">
        <v>0.09</v>
      </c>
      <c r="I78" s="442" t="s">
        <v>253</v>
      </c>
      <c r="J78" s="442"/>
      <c r="Q78" s="237"/>
    </row>
    <row r="79" spans="1:17" x14ac:dyDescent="0.25">
      <c r="D79" s="264"/>
      <c r="E79" s="263"/>
      <c r="I79" s="266"/>
      <c r="J79" s="266">
        <f>DSUM(A1:K65,K1,M24:N26)</f>
        <v>3800758.6849999996</v>
      </c>
      <c r="Q79" s="237"/>
    </row>
    <row r="80" spans="1:17" x14ac:dyDescent="0.25">
      <c r="D80" s="264">
        <v>2016</v>
      </c>
      <c r="E80" s="265">
        <v>0.04</v>
      </c>
      <c r="Q80" s="237"/>
    </row>
    <row r="81" spans="3:17" x14ac:dyDescent="0.25">
      <c r="D81" s="264"/>
      <c r="E81" s="263"/>
      <c r="Q81" s="237"/>
    </row>
    <row r="82" spans="3:17" x14ac:dyDescent="0.25">
      <c r="D82" s="267">
        <v>2018</v>
      </c>
      <c r="E82" s="268">
        <v>7.0000000000000007E-2</v>
      </c>
      <c r="Q82" s="237"/>
    </row>
    <row r="83" spans="3:17" x14ac:dyDescent="0.25">
      <c r="Q83" s="237"/>
    </row>
    <row r="84" spans="3:17" x14ac:dyDescent="0.25">
      <c r="Q84" s="237"/>
    </row>
    <row r="85" spans="3:17" x14ac:dyDescent="0.25">
      <c r="Q85" s="237"/>
    </row>
    <row r="86" spans="3:17" x14ac:dyDescent="0.25">
      <c r="C86" s="247" t="s">
        <v>296</v>
      </c>
      <c r="D86" s="247" t="s">
        <v>297</v>
      </c>
      <c r="Q86" s="237"/>
    </row>
    <row r="87" spans="3:17" x14ac:dyDescent="0.25">
      <c r="D87" s="269">
        <v>40179</v>
      </c>
      <c r="E87" s="247">
        <f t="array" ref="E87:E91">FREQUENCY(D2:D65,D87:D91)</f>
        <v>25</v>
      </c>
      <c r="Q87" s="237"/>
    </row>
    <row r="88" spans="3:17" x14ac:dyDescent="0.25">
      <c r="D88" s="269">
        <v>41275</v>
      </c>
      <c r="E88" s="247">
        <v>14</v>
      </c>
      <c r="Q88" s="237"/>
    </row>
    <row r="89" spans="3:17" x14ac:dyDescent="0.25">
      <c r="D89" s="269">
        <v>42005</v>
      </c>
      <c r="E89" s="247">
        <v>11</v>
      </c>
      <c r="Q89" s="237"/>
    </row>
    <row r="90" spans="3:17" x14ac:dyDescent="0.25">
      <c r="D90" s="269">
        <v>42736</v>
      </c>
      <c r="E90" s="247">
        <v>8</v>
      </c>
      <c r="Q90" s="237"/>
    </row>
    <row r="91" spans="3:17" x14ac:dyDescent="0.25">
      <c r="D91" s="247"/>
      <c r="E91" s="247">
        <v>6</v>
      </c>
      <c r="Q91" s="237"/>
    </row>
  </sheetData>
  <mergeCells count="1">
    <mergeCell ref="I78:J7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98F9-DD39-414A-8534-2BA4DEC206C7}">
  <dimension ref="A1:X46"/>
  <sheetViews>
    <sheetView rightToLeft="1" workbookViewId="0">
      <selection activeCell="AC36" sqref="AC36"/>
    </sheetView>
  </sheetViews>
  <sheetFormatPr defaultRowHeight="13.8" x14ac:dyDescent="0.25"/>
  <cols>
    <col min="1" max="1" width="8.796875" style="122"/>
    <col min="2" max="2" width="15" style="122" bestFit="1" customWidth="1"/>
    <col min="3" max="3" width="11" style="122" customWidth="1"/>
    <col min="4" max="4" width="14.69921875" style="122" customWidth="1"/>
    <col min="5" max="5" width="10.5" style="122" bestFit="1" customWidth="1"/>
    <col min="6" max="6" width="8.796875" style="122"/>
    <col min="7" max="7" width="0" style="122" hidden="1" customWidth="1"/>
    <col min="8" max="8" width="20.8984375" style="122" hidden="1" customWidth="1"/>
    <col min="9" max="9" width="17.5" style="122" hidden="1" customWidth="1"/>
    <col min="10" max="10" width="16.3984375" style="122" hidden="1" customWidth="1"/>
    <col min="11" max="11" width="0" style="122" hidden="1" customWidth="1"/>
    <col min="12" max="12" width="9.8984375" style="122" hidden="1" customWidth="1"/>
    <col min="13" max="13" width="27.69921875" style="122" hidden="1" customWidth="1"/>
    <col min="14" max="14" width="0" style="122" hidden="1" customWidth="1"/>
    <col min="15" max="17" width="8.796875" style="122"/>
    <col min="18" max="19" width="10.59765625" style="122" bestFit="1" customWidth="1"/>
    <col min="20" max="16384" width="8.796875" style="122"/>
  </cols>
  <sheetData>
    <row r="1" spans="1:19" s="114" customFormat="1" ht="55.8" x14ac:dyDescent="0.3">
      <c r="A1" s="112" t="s">
        <v>0</v>
      </c>
      <c r="B1" s="112" t="s">
        <v>1</v>
      </c>
      <c r="C1" s="112" t="s">
        <v>2</v>
      </c>
      <c r="D1" s="112" t="s">
        <v>3</v>
      </c>
      <c r="E1" s="147" t="s">
        <v>4</v>
      </c>
      <c r="F1" s="112" t="s">
        <v>5</v>
      </c>
      <c r="G1" s="112" t="s">
        <v>6</v>
      </c>
      <c r="H1" s="112" t="s">
        <v>7</v>
      </c>
      <c r="I1" s="113" t="s">
        <v>91</v>
      </c>
      <c r="J1" s="113" t="s">
        <v>92</v>
      </c>
      <c r="K1" s="113" t="s">
        <v>93</v>
      </c>
      <c r="L1" s="113" t="s">
        <v>84</v>
      </c>
      <c r="M1" s="113" t="s">
        <v>94</v>
      </c>
      <c r="N1" s="112" t="s">
        <v>1</v>
      </c>
      <c r="R1" s="115"/>
      <c r="S1" s="115"/>
    </row>
    <row r="2" spans="1:19" ht="14.4" x14ac:dyDescent="0.3">
      <c r="A2" s="116">
        <v>1855</v>
      </c>
      <c r="B2" s="116" t="s">
        <v>8</v>
      </c>
      <c r="C2" s="116" t="s">
        <v>9</v>
      </c>
      <c r="D2" s="117">
        <v>43723</v>
      </c>
      <c r="E2" s="118">
        <v>2500</v>
      </c>
      <c r="F2" s="116">
        <v>10</v>
      </c>
      <c r="G2" s="119">
        <v>8.9999999999999993E-3</v>
      </c>
      <c r="H2" s="120">
        <v>16761.877886011072</v>
      </c>
      <c r="I2" s="121">
        <f t="shared" ref="I2:I25" si="0">(H2-E2)*$B$28*(1-G2)</f>
        <v>43813.915053614619</v>
      </c>
      <c r="J2" s="121">
        <f>VLOOKUP(F2,'[6]נתונים נוספים'!$A$4:$D$9,VLOOKUP([7]FREQUENCY!C2,'[6]נתונים נוספים'!$F$4:$G$6,2,0),0)*[7]FREQUENCY!$B$28*H2</f>
        <v>7794.2732169951478</v>
      </c>
      <c r="K2" s="122" t="str">
        <f>TEXT(D2,"mmmm")</f>
        <v>ספטמבר</v>
      </c>
      <c r="L2" s="123">
        <f>IF(AND(C2=$L$32,E2&lt;$L$33),DATE(YEAR(D2)+$L$34,MONTH(D2),$L$35),IF(OR(F2=$L$40,F2=$L$41),DATE($L$36,$L$37,DAY(D2)),DATE(YEAR(D2),MONTH(D2)+$L$38,DAY(D2)+$L$39)))</f>
        <v>44440</v>
      </c>
      <c r="M2" s="122" t="str">
        <f>IF(C2=$M$33,IF(E2&lt;=$M$34,$M$35,$M$36),IF(C2=$M$32,IF(YEAR(D2)&lt;=$M$37,$M$39,IF(YEAR(D2)&lt;=$M$38,$M$40,$M$41)),$M$42))</f>
        <v>תווי קניה</v>
      </c>
      <c r="N2" s="122" t="str">
        <f>B2</f>
        <v>NI</v>
      </c>
      <c r="R2" s="125"/>
      <c r="S2" s="126"/>
    </row>
    <row r="3" spans="1:19" ht="14.4" x14ac:dyDescent="0.3">
      <c r="A3" s="116">
        <v>1856</v>
      </c>
      <c r="B3" s="116" t="s">
        <v>10</v>
      </c>
      <c r="C3" s="116" t="s">
        <v>11</v>
      </c>
      <c r="D3" s="117">
        <v>42075</v>
      </c>
      <c r="E3" s="118">
        <v>146726</v>
      </c>
      <c r="F3" s="116">
        <v>13</v>
      </c>
      <c r="G3" s="119">
        <v>2.8999999999999998E-3</v>
      </c>
      <c r="H3" s="120">
        <v>214094.11260178176</v>
      </c>
      <c r="I3" s="121">
        <f t="shared" si="0"/>
        <v>208235.50973323346</v>
      </c>
      <c r="J3" s="121">
        <f>VLOOKUP(F3,'[6]נתונים נוספים'!$A$4:$D$9,VLOOKUP([7]FREQUENCY!C3,'[6]נתונים נוספים'!$F$4:$G$6,2,0),0)*[7]FREQUENCY!$B$28*H3</f>
        <v>142693.72604908753</v>
      </c>
      <c r="K3" s="122" t="str">
        <f t="shared" ref="K3:K26" si="1">TEXT(D3,"mmmm")</f>
        <v>מרץ</v>
      </c>
      <c r="L3" s="123">
        <f t="shared" ref="L3:L26" si="2">IF(AND(C3=$L$32,E3&lt;$L$33),DATE(YEAR(D3)+$L$34,MONTH(D3),$L$35),IF(OR(F3=$L$40,F3=$L$41),DATE($L$36,$L$37,DAY(D3)),DATE(YEAR(D3),MONTH(D3)+$L$38,DAY(D3)+$L$39)))</f>
        <v>42332</v>
      </c>
      <c r="M3" s="122" t="str">
        <f t="shared" ref="M3:M26" si="3">IF(C3=$M$33,IF(E3&lt;=$M$34,$M$35,$M$36),IF(C3=$M$32,IF(YEAR(D3)&lt;=$M$37,$M$39,IF(YEAR(D3)&lt;=$M$38,$M$40,$M$41)),$M$42))</f>
        <v>חופשה בפריז</v>
      </c>
      <c r="N3" s="122" t="str">
        <f t="shared" ref="N3:N26" si="4">B3</f>
        <v>KF</v>
      </c>
      <c r="R3" s="125"/>
      <c r="S3" s="126"/>
    </row>
    <row r="4" spans="1:19" ht="14.4" x14ac:dyDescent="0.3">
      <c r="A4" s="116">
        <v>1857</v>
      </c>
      <c r="B4" s="116" t="s">
        <v>12</v>
      </c>
      <c r="C4" s="116" t="s">
        <v>9</v>
      </c>
      <c r="D4" s="117">
        <v>43007</v>
      </c>
      <c r="E4" s="118">
        <v>253094</v>
      </c>
      <c r="F4" s="116">
        <v>10</v>
      </c>
      <c r="G4" s="119">
        <v>6.0000000000000001E-3</v>
      </c>
      <c r="H4" s="120">
        <v>307637.33883750002</v>
      </c>
      <c r="I4" s="121">
        <f t="shared" si="0"/>
        <v>168069.84429387259</v>
      </c>
      <c r="J4" s="121">
        <f>VLOOKUP(F4,'[6]נתונים נוספים'!$A$4:$D$9,VLOOKUP([7]FREQUENCY!C4,'[6]נתונים נוספים'!$F$4:$G$6,2,0),0)*[7]FREQUENCY!$B$28*H4</f>
        <v>143051.36255943749</v>
      </c>
      <c r="K4" s="122" t="str">
        <f t="shared" si="1"/>
        <v>ספטמבר</v>
      </c>
      <c r="L4" s="123">
        <f t="shared" si="2"/>
        <v>43261</v>
      </c>
      <c r="M4" s="122" t="str">
        <f t="shared" si="3"/>
        <v>תווי קניה</v>
      </c>
      <c r="N4" s="122" t="str">
        <f t="shared" si="4"/>
        <v>CC</v>
      </c>
      <c r="R4" s="125"/>
      <c r="S4" s="126"/>
    </row>
    <row r="5" spans="1:19" ht="14.4" x14ac:dyDescent="0.3">
      <c r="A5" s="116">
        <v>1858</v>
      </c>
      <c r="B5" s="116" t="s">
        <v>13</v>
      </c>
      <c r="C5" s="116" t="s">
        <v>9</v>
      </c>
      <c r="D5" s="117">
        <v>42367</v>
      </c>
      <c r="E5" s="118">
        <v>70131</v>
      </c>
      <c r="F5" s="116">
        <v>14</v>
      </c>
      <c r="G5" s="119">
        <v>1E-3</v>
      </c>
      <c r="H5" s="120">
        <v>332458.09982047207</v>
      </c>
      <c r="I5" s="121">
        <f t="shared" si="0"/>
        <v>812400.79543401999</v>
      </c>
      <c r="J5" s="121">
        <f>VLOOKUP(F5,'[6]נתונים נוספים'!$A$4:$D$9,VLOOKUP([7]FREQUENCY!C5,'[6]נתונים נוספים'!$F$4:$G$6,2,0),0)*[7]FREQUENCY!$B$28*H5</f>
        <v>164899.21751095416</v>
      </c>
      <c r="K5" s="122" t="str">
        <f t="shared" si="1"/>
        <v>דצמבר</v>
      </c>
      <c r="L5" s="123">
        <f t="shared" si="2"/>
        <v>44649</v>
      </c>
      <c r="M5" s="122" t="str">
        <f t="shared" si="3"/>
        <v>סט סירים</v>
      </c>
      <c r="N5" s="122" t="str">
        <f t="shared" si="4"/>
        <v>BJ</v>
      </c>
      <c r="R5" s="125"/>
      <c r="S5" s="126"/>
    </row>
    <row r="6" spans="1:19" ht="14.4" x14ac:dyDescent="0.3">
      <c r="A6" s="116">
        <v>1859</v>
      </c>
      <c r="B6" s="116" t="s">
        <v>14</v>
      </c>
      <c r="C6" s="116" t="s">
        <v>9</v>
      </c>
      <c r="D6" s="117">
        <v>43866</v>
      </c>
      <c r="E6" s="118">
        <v>63372</v>
      </c>
      <c r="F6" s="116">
        <v>15</v>
      </c>
      <c r="G6" s="119">
        <v>1E-3</v>
      </c>
      <c r="H6" s="120">
        <v>1229261.9753939065</v>
      </c>
      <c r="I6" s="121">
        <f t="shared" si="0"/>
        <v>3610644.6647973889</v>
      </c>
      <c r="J6" s="121">
        <f>VLOOKUP(F6,'[6]נתונים נוספים'!$A$4:$D$9,VLOOKUP([7]FREQUENCY!C6,'[6]נתונים נוספים'!$F$4:$G$6,2,0),0)*[7]FREQUENCY!$B$28*H6</f>
        <v>819303.10660003859</v>
      </c>
      <c r="K6" s="122" t="str">
        <f t="shared" si="1"/>
        <v>פברואר</v>
      </c>
      <c r="L6" s="123">
        <f t="shared" si="2"/>
        <v>44625</v>
      </c>
      <c r="M6" s="122" t="str">
        <f t="shared" si="3"/>
        <v>תווי קניה</v>
      </c>
      <c r="N6" s="122" t="str">
        <f t="shared" si="4"/>
        <v>DE</v>
      </c>
      <c r="R6" s="125"/>
      <c r="S6" s="126"/>
    </row>
    <row r="7" spans="1:19" ht="14.4" x14ac:dyDescent="0.3">
      <c r="A7" s="116">
        <v>1860</v>
      </c>
      <c r="B7" s="116" t="s">
        <v>13</v>
      </c>
      <c r="C7" s="116" t="s">
        <v>11</v>
      </c>
      <c r="D7" s="117">
        <v>43604</v>
      </c>
      <c r="E7" s="118">
        <v>72483</v>
      </c>
      <c r="F7" s="116">
        <v>15</v>
      </c>
      <c r="G7" s="119">
        <v>1E-3</v>
      </c>
      <c r="H7" s="120">
        <v>1877660.4186721272</v>
      </c>
      <c r="I7" s="121">
        <f t="shared" si="0"/>
        <v>5590453.9478857107</v>
      </c>
      <c r="J7" s="121">
        <f>VLOOKUP(F7,'[6]נתונים נוספים'!$A$4:$D$9,VLOOKUP([7]FREQUENCY!C7,'[6]נתונים נוספים'!$F$4:$G$6,2,0),0)*[7]FREQUENCY!$B$28*H7</f>
        <v>582074.72978835949</v>
      </c>
      <c r="K7" s="122" t="str">
        <f t="shared" si="1"/>
        <v>מאי</v>
      </c>
      <c r="L7" s="123">
        <f t="shared" si="2"/>
        <v>44639</v>
      </c>
      <c r="M7" s="122" t="str">
        <f t="shared" si="3"/>
        <v>חופשה בפריז</v>
      </c>
      <c r="N7" s="122" t="str">
        <f t="shared" si="4"/>
        <v>BJ</v>
      </c>
      <c r="R7" s="125"/>
      <c r="S7" s="126"/>
    </row>
    <row r="8" spans="1:19" ht="14.4" x14ac:dyDescent="0.3">
      <c r="A8" s="116">
        <v>1861</v>
      </c>
      <c r="B8" s="116" t="s">
        <v>15</v>
      </c>
      <c r="C8" s="116" t="s">
        <v>11</v>
      </c>
      <c r="D8" s="117">
        <v>42562</v>
      </c>
      <c r="E8" s="118">
        <v>108877</v>
      </c>
      <c r="F8" s="116">
        <v>13</v>
      </c>
      <c r="G8" s="119">
        <v>2.8999999999999998E-3</v>
      </c>
      <c r="H8" s="120">
        <v>986671.12314671697</v>
      </c>
      <c r="I8" s="121">
        <f t="shared" si="0"/>
        <v>2713270.4125877335</v>
      </c>
      <c r="J8" s="121">
        <f>VLOOKUP(F8,'[6]נתונים נוספים'!$A$4:$D$9,VLOOKUP([7]FREQUENCY!C8,'[6]נתונים נוספים'!$F$4:$G$6,2,0),0)*[7]FREQUENCY!$B$28*H8</f>
        <v>657616.30357728689</v>
      </c>
      <c r="K8" s="122" t="str">
        <f t="shared" si="1"/>
        <v>יולי</v>
      </c>
      <c r="L8" s="123">
        <f t="shared" si="2"/>
        <v>42817</v>
      </c>
      <c r="M8" s="122" t="str">
        <f t="shared" si="3"/>
        <v>חופשה בפריז</v>
      </c>
      <c r="N8" s="122" t="str">
        <f t="shared" si="4"/>
        <v>CK</v>
      </c>
      <c r="R8" s="125"/>
      <c r="S8" s="126"/>
    </row>
    <row r="9" spans="1:19" ht="14.4" x14ac:dyDescent="0.3">
      <c r="A9" s="116">
        <v>1862</v>
      </c>
      <c r="B9" s="116" t="s">
        <v>16</v>
      </c>
      <c r="C9" s="116" t="s">
        <v>11</v>
      </c>
      <c r="D9" s="117">
        <v>44321</v>
      </c>
      <c r="E9" s="118">
        <v>96681</v>
      </c>
      <c r="F9" s="116">
        <v>10</v>
      </c>
      <c r="G9" s="119">
        <v>7.0000000000000001E-3</v>
      </c>
      <c r="H9" s="120">
        <v>191421.76696540037</v>
      </c>
      <c r="I9" s="121">
        <f t="shared" si="0"/>
        <v>291640.50294959196</v>
      </c>
      <c r="J9" s="121">
        <f>VLOOKUP(F9,'[6]נתונים נוספים'!$A$4:$D$9,VLOOKUP([7]FREQUENCY!C9,'[6]נתונים נוספים'!$F$4:$G$6,2,0),0)*[7]FREQUENCY!$B$28*H9</f>
        <v>89011.121638911165</v>
      </c>
      <c r="K9" s="122" t="str">
        <f t="shared" si="1"/>
        <v>מאי</v>
      </c>
      <c r="L9" s="123">
        <f t="shared" si="2"/>
        <v>44578</v>
      </c>
      <c r="M9" s="122" t="str">
        <f t="shared" si="3"/>
        <v>חופשה בפריז</v>
      </c>
      <c r="N9" s="122" t="str">
        <f t="shared" si="4"/>
        <v>JK</v>
      </c>
      <c r="R9" s="125"/>
      <c r="S9" s="126"/>
    </row>
    <row r="10" spans="1:19" ht="14.4" x14ac:dyDescent="0.3">
      <c r="A10" s="116">
        <v>1863</v>
      </c>
      <c r="B10" s="116" t="s">
        <v>17</v>
      </c>
      <c r="C10" s="116" t="s">
        <v>11</v>
      </c>
      <c r="D10" s="117">
        <v>43400</v>
      </c>
      <c r="E10" s="118">
        <v>66590</v>
      </c>
      <c r="F10" s="116">
        <v>15</v>
      </c>
      <c r="G10" s="119">
        <v>1E-3</v>
      </c>
      <c r="H10" s="120">
        <v>377756.68354481296</v>
      </c>
      <c r="I10" s="121">
        <f t="shared" si="0"/>
        <v>963652.10226993135</v>
      </c>
      <c r="J10" s="121">
        <f>VLOOKUP(F10,'[6]נתונים נוספים'!$A$4:$D$9,VLOOKUP([7]FREQUENCY!C10,'[6]נתונים נוספים'!$F$4:$G$6,2,0),0)*[7]FREQUENCY!$B$28*H10</f>
        <v>117104.57189889204</v>
      </c>
      <c r="K10" s="122" t="str">
        <f t="shared" si="1"/>
        <v>אוקטובר</v>
      </c>
      <c r="L10" s="123">
        <f t="shared" si="2"/>
        <v>44647</v>
      </c>
      <c r="M10" s="122" t="str">
        <f t="shared" si="3"/>
        <v>חופשה בפריז</v>
      </c>
      <c r="N10" s="122" t="str">
        <f t="shared" si="4"/>
        <v>DJ</v>
      </c>
      <c r="R10" s="125"/>
      <c r="S10" s="126"/>
    </row>
    <row r="11" spans="1:19" ht="14.4" x14ac:dyDescent="0.3">
      <c r="A11" s="116">
        <v>1864</v>
      </c>
      <c r="B11" s="116" t="s">
        <v>18</v>
      </c>
      <c r="C11" s="116" t="s">
        <v>19</v>
      </c>
      <c r="D11" s="117">
        <v>43977</v>
      </c>
      <c r="E11" s="118">
        <v>224708</v>
      </c>
      <c r="F11" s="116">
        <v>10</v>
      </c>
      <c r="G11" s="119">
        <v>6.0000000000000001E-3</v>
      </c>
      <c r="H11" s="120">
        <v>3453180.5195543682</v>
      </c>
      <c r="I11" s="121">
        <f t="shared" si="0"/>
        <v>9948215.2217548303</v>
      </c>
      <c r="J11" s="121">
        <f>VLOOKUP(F11,'[6]נתונים נוספים'!$A$4:$D$9,VLOOKUP([7]FREQUENCY!C11,'[6]נתונים נוספים'!$F$4:$G$6,2,0),0)*[7]FREQUENCY!$B$28*H11</f>
        <v>1070485.9610618544</v>
      </c>
      <c r="K11" s="122" t="str">
        <f t="shared" si="1"/>
        <v>מאי</v>
      </c>
      <c r="L11" s="123">
        <f t="shared" si="2"/>
        <v>44234</v>
      </c>
      <c r="M11" s="122" t="str">
        <f t="shared" si="3"/>
        <v>ללא מתנה</v>
      </c>
      <c r="N11" s="122" t="str">
        <f t="shared" si="4"/>
        <v>LB</v>
      </c>
      <c r="R11" s="125"/>
      <c r="S11" s="126"/>
    </row>
    <row r="12" spans="1:19" ht="14.4" x14ac:dyDescent="0.3">
      <c r="A12" s="116">
        <v>1865</v>
      </c>
      <c r="B12" s="116" t="s">
        <v>20</v>
      </c>
      <c r="C12" s="116" t="s">
        <v>9</v>
      </c>
      <c r="D12" s="117">
        <v>44029</v>
      </c>
      <c r="E12" s="118">
        <v>49492</v>
      </c>
      <c r="F12" s="116">
        <v>14</v>
      </c>
      <c r="G12" s="119">
        <v>1.1000000000000001E-3</v>
      </c>
      <c r="H12" s="120">
        <v>2044762.0534205888</v>
      </c>
      <c r="I12" s="121">
        <f t="shared" si="0"/>
        <v>6178533.2947216621</v>
      </c>
      <c r="J12" s="121">
        <f>VLOOKUP(F12,'[6]נתונים נוספים'!$A$4:$D$9,VLOOKUP([7]FREQUENCY!C12,'[6]נתונים נוספים'!$F$4:$G$6,2,0),0)*[7]FREQUENCY!$B$28*H12</f>
        <v>1014201.9784966122</v>
      </c>
      <c r="K12" s="122" t="str">
        <f t="shared" si="1"/>
        <v>יולי</v>
      </c>
      <c r="L12" s="123">
        <f t="shared" si="2"/>
        <v>44743</v>
      </c>
      <c r="M12" s="122" t="str">
        <f t="shared" si="3"/>
        <v>תווי קניה</v>
      </c>
      <c r="N12" s="122" t="str">
        <f t="shared" si="4"/>
        <v>LM</v>
      </c>
      <c r="R12" s="125"/>
      <c r="S12" s="126"/>
    </row>
    <row r="13" spans="1:19" ht="14.4" x14ac:dyDescent="0.3">
      <c r="A13" s="116">
        <v>1866</v>
      </c>
      <c r="B13" s="116" t="s">
        <v>21</v>
      </c>
      <c r="C13" s="116" t="s">
        <v>9</v>
      </c>
      <c r="D13" s="117">
        <v>40661</v>
      </c>
      <c r="E13" s="118">
        <v>76982</v>
      </c>
      <c r="F13" s="116">
        <v>13</v>
      </c>
      <c r="G13" s="119">
        <v>3.8999999999999998E-3</v>
      </c>
      <c r="H13" s="120">
        <v>2617985.4305046364</v>
      </c>
      <c r="I13" s="121">
        <f t="shared" si="0"/>
        <v>7846389.9030895717</v>
      </c>
      <c r="J13" s="121">
        <f>VLOOKUP(F13,'[6]נתונים נוספים'!$A$4:$D$9,VLOOKUP([7]FREQUENCY!C13,'[6]נתונים נוספים'!$F$4:$G$6,2,0),0)*[7]FREQUENCY!$B$28*H13</f>
        <v>1866623.6119498059</v>
      </c>
      <c r="K13" s="122" t="str">
        <f t="shared" si="1"/>
        <v>אפריל</v>
      </c>
      <c r="L13" s="123">
        <f t="shared" si="2"/>
        <v>40917</v>
      </c>
      <c r="M13" s="122" t="str">
        <f t="shared" si="3"/>
        <v>כרטיס להופעה</v>
      </c>
      <c r="N13" s="122" t="str">
        <f t="shared" si="4"/>
        <v>BK</v>
      </c>
      <c r="R13" s="125"/>
      <c r="S13" s="126"/>
    </row>
    <row r="14" spans="1:19" ht="14.4" x14ac:dyDescent="0.3">
      <c r="A14" s="116">
        <v>1867</v>
      </c>
      <c r="B14" s="116" t="s">
        <v>22</v>
      </c>
      <c r="C14" s="116" t="s">
        <v>19</v>
      </c>
      <c r="D14" s="117">
        <v>40434</v>
      </c>
      <c r="E14" s="118">
        <v>184883</v>
      </c>
      <c r="F14" s="116">
        <v>10</v>
      </c>
      <c r="G14" s="119">
        <v>6.0000000000000001E-3</v>
      </c>
      <c r="H14" s="120">
        <v>2226133.6383189736</v>
      </c>
      <c r="I14" s="121">
        <f t="shared" si="0"/>
        <v>6289909.7169160852</v>
      </c>
      <c r="J14" s="121">
        <f>VLOOKUP(F14,'[6]נתונים נוספים'!$A$4:$D$9,VLOOKUP([7]FREQUENCY!C14,'[6]נתונים נוספים'!$F$4:$G$6,2,0),0)*[7]FREQUENCY!$B$28*H14</f>
        <v>690101.42787888192</v>
      </c>
      <c r="K14" s="122" t="str">
        <f t="shared" si="1"/>
        <v>ספטמבר</v>
      </c>
      <c r="L14" s="123">
        <f t="shared" si="2"/>
        <v>40688</v>
      </c>
      <c r="M14" s="122" t="str">
        <f t="shared" si="3"/>
        <v>ללא מתנה</v>
      </c>
      <c r="N14" s="122" t="str">
        <f t="shared" si="4"/>
        <v>DK</v>
      </c>
    </row>
    <row r="15" spans="1:19" ht="14.4" x14ac:dyDescent="0.3">
      <c r="A15" s="116">
        <v>1868</v>
      </c>
      <c r="B15" s="116" t="s">
        <v>23</v>
      </c>
      <c r="C15" s="116" t="s">
        <v>19</v>
      </c>
      <c r="D15" s="117">
        <v>41924</v>
      </c>
      <c r="E15" s="118">
        <v>8780</v>
      </c>
      <c r="F15" s="116">
        <v>10</v>
      </c>
      <c r="G15" s="119">
        <v>8.9999999999999993E-3</v>
      </c>
      <c r="H15" s="120">
        <v>122381.75185310727</v>
      </c>
      <c r="I15" s="121">
        <f t="shared" si="0"/>
        <v>348995.94186793087</v>
      </c>
      <c r="J15" s="121">
        <f>VLOOKUP(F15,'[6]נתונים נוספים'!$A$4:$D$9,VLOOKUP([7]FREQUENCY!C15,'[6]נתונים נוספים'!$F$4:$G$6,2,0),0)*[7]FREQUENCY!$B$28*H15</f>
        <v>37938.343074463257</v>
      </c>
      <c r="K15" s="122" t="str">
        <f t="shared" si="1"/>
        <v>אוקטובר</v>
      </c>
      <c r="L15" s="123">
        <f t="shared" si="2"/>
        <v>42179</v>
      </c>
      <c r="M15" s="122" t="str">
        <f t="shared" si="3"/>
        <v>ללא מתנה</v>
      </c>
      <c r="N15" s="122" t="str">
        <f t="shared" si="4"/>
        <v>KL</v>
      </c>
    </row>
    <row r="16" spans="1:19" ht="14.4" x14ac:dyDescent="0.3">
      <c r="A16" s="116">
        <v>1869</v>
      </c>
      <c r="B16" s="116" t="s">
        <v>24</v>
      </c>
      <c r="C16" s="116" t="s">
        <v>9</v>
      </c>
      <c r="D16" s="117">
        <v>41231</v>
      </c>
      <c r="E16" s="118">
        <v>46900</v>
      </c>
      <c r="F16" s="116">
        <v>14</v>
      </c>
      <c r="G16" s="119">
        <v>1.1000000000000001E-3</v>
      </c>
      <c r="H16" s="120">
        <v>80582.931834117058</v>
      </c>
      <c r="I16" s="121">
        <f t="shared" si="0"/>
        <v>104302.22988820855</v>
      </c>
      <c r="J16" s="121">
        <f>VLOOKUP(F16,'[6]נתונים נוספים'!$A$4:$D$9,VLOOKUP([7]FREQUENCY!C16,'[6]נתונים נוספים'!$F$4:$G$6,2,0),0)*[7]FREQUENCY!$B$28*H16</f>
        <v>39969.134189722063</v>
      </c>
      <c r="K16" s="122" t="str">
        <f t="shared" si="1"/>
        <v>נובמבר</v>
      </c>
      <c r="L16" s="123">
        <f t="shared" si="2"/>
        <v>41944</v>
      </c>
      <c r="M16" s="122" t="str">
        <f t="shared" si="3"/>
        <v>כרטיס להופעה</v>
      </c>
      <c r="N16" s="122" t="str">
        <f t="shared" si="4"/>
        <v>NE</v>
      </c>
    </row>
    <row r="17" spans="1:19" ht="14.4" x14ac:dyDescent="0.3">
      <c r="A17" s="116">
        <v>1870</v>
      </c>
      <c r="B17" s="116" t="s">
        <v>25</v>
      </c>
      <c r="C17" s="116" t="s">
        <v>9</v>
      </c>
      <c r="D17" s="117">
        <v>41419</v>
      </c>
      <c r="E17" s="118">
        <v>162174</v>
      </c>
      <c r="F17" s="116">
        <v>14</v>
      </c>
      <c r="G17" s="119">
        <v>8.0000000000000004E-4</v>
      </c>
      <c r="H17" s="120">
        <v>1078268.712803452</v>
      </c>
      <c r="I17" s="121">
        <f t="shared" si="0"/>
        <v>2837621.6948029487</v>
      </c>
      <c r="J17" s="121">
        <f>VLOOKUP(F17,'[6]נתונים נוספים'!$A$4:$D$9,VLOOKUP([7]FREQUENCY!C17,'[6]נתונים נוספים'!$F$4:$G$6,2,0),0)*[7]FREQUENCY!$B$28*H17</f>
        <v>534821.2815505123</v>
      </c>
      <c r="K17" s="122" t="str">
        <f t="shared" si="1"/>
        <v>מאי</v>
      </c>
      <c r="L17" s="123">
        <f t="shared" si="2"/>
        <v>44645</v>
      </c>
      <c r="M17" s="122" t="str">
        <f t="shared" si="3"/>
        <v>סט סירים</v>
      </c>
      <c r="N17" s="122" t="str">
        <f t="shared" si="4"/>
        <v>MK</v>
      </c>
    </row>
    <row r="18" spans="1:19" ht="14.4" x14ac:dyDescent="0.3">
      <c r="A18" s="116">
        <v>1871</v>
      </c>
      <c r="B18" s="116" t="s">
        <v>20</v>
      </c>
      <c r="C18" s="116" t="s">
        <v>9</v>
      </c>
      <c r="D18" s="117">
        <v>41617</v>
      </c>
      <c r="E18" s="118">
        <v>10321</v>
      </c>
      <c r="F18" s="116">
        <v>14</v>
      </c>
      <c r="G18" s="119">
        <v>1.1000000000000001E-3</v>
      </c>
      <c r="H18" s="120">
        <v>372444.86881914415</v>
      </c>
      <c r="I18" s="121">
        <f t="shared" si="0"/>
        <v>1121349.1509466737</v>
      </c>
      <c r="J18" s="121">
        <f>VLOOKUP(F18,'[6]נתונים נוספים'!$A$4:$D$9,VLOOKUP([7]FREQUENCY!C18,'[6]נתונים נוספים'!$F$4:$G$6,2,0),0)*[7]FREQUENCY!$B$28*H18</f>
        <v>184732.65493429551</v>
      </c>
      <c r="K18" s="122" t="str">
        <f t="shared" si="1"/>
        <v>דצמבר</v>
      </c>
      <c r="L18" s="123">
        <f t="shared" si="2"/>
        <v>42339</v>
      </c>
      <c r="M18" s="122" t="str">
        <f t="shared" si="3"/>
        <v>סט סירים</v>
      </c>
      <c r="N18" s="122" t="str">
        <f t="shared" si="4"/>
        <v>LM</v>
      </c>
    </row>
    <row r="19" spans="1:19" ht="14.4" x14ac:dyDescent="0.3">
      <c r="A19" s="116">
        <v>1872</v>
      </c>
      <c r="B19" s="116" t="s">
        <v>26</v>
      </c>
      <c r="C19" s="116" t="s">
        <v>9</v>
      </c>
      <c r="D19" s="117">
        <v>43638</v>
      </c>
      <c r="E19" s="118">
        <v>56091</v>
      </c>
      <c r="F19" s="116">
        <v>15</v>
      </c>
      <c r="G19" s="119">
        <v>1E-3</v>
      </c>
      <c r="H19" s="120">
        <v>1453028.3037917621</v>
      </c>
      <c r="I19" s="121">
        <f t="shared" si="0"/>
        <v>4326175.1361127077</v>
      </c>
      <c r="J19" s="121">
        <f>VLOOKUP(F19,'[6]נתונים נוספים'!$A$4:$D$9,VLOOKUP([7]FREQUENCY!C19,'[6]נתונים נוספים'!$F$4:$G$6,2,0),0)*[7]FREQUENCY!$B$28*H19</f>
        <v>968443.3644772094</v>
      </c>
      <c r="K19" s="122" t="str">
        <f t="shared" si="1"/>
        <v>יוני</v>
      </c>
      <c r="L19" s="123">
        <f t="shared" si="2"/>
        <v>44642</v>
      </c>
      <c r="M19" s="122" t="str">
        <f t="shared" si="3"/>
        <v>תווי קניה</v>
      </c>
      <c r="N19" s="122" t="str">
        <f t="shared" si="4"/>
        <v>FD</v>
      </c>
    </row>
    <row r="20" spans="1:19" ht="14.4" x14ac:dyDescent="0.3">
      <c r="A20" s="116">
        <v>1873</v>
      </c>
      <c r="B20" s="116" t="s">
        <v>27</v>
      </c>
      <c r="C20" s="116" t="s">
        <v>11</v>
      </c>
      <c r="D20" s="117">
        <v>43291</v>
      </c>
      <c r="E20" s="118">
        <v>12866</v>
      </c>
      <c r="F20" s="116">
        <v>10</v>
      </c>
      <c r="G20" s="119">
        <v>8.0000000000000002E-3</v>
      </c>
      <c r="H20" s="120">
        <v>133822.73527755728</v>
      </c>
      <c r="I20" s="121">
        <f t="shared" si="0"/>
        <v>371966.15232554416</v>
      </c>
      <c r="J20" s="121">
        <f>VLOOKUP(F20,'[6]נתונים נוספים'!$A$4:$D$9,VLOOKUP([7]FREQUENCY!C20,'[6]נתונים נוספים'!$F$4:$G$6,2,0),0)*[7]FREQUENCY!$B$28*H20</f>
        <v>62227.571904064134</v>
      </c>
      <c r="K20" s="122" t="str">
        <f t="shared" si="1"/>
        <v>יולי</v>
      </c>
      <c r="L20" s="123">
        <f t="shared" si="2"/>
        <v>43546</v>
      </c>
      <c r="M20" s="122" t="str">
        <f t="shared" si="3"/>
        <v>חופשה באילת</v>
      </c>
      <c r="N20" s="122" t="str">
        <f t="shared" si="4"/>
        <v>KD</v>
      </c>
    </row>
    <row r="21" spans="1:19" ht="14.4" x14ac:dyDescent="0.3">
      <c r="A21" s="116">
        <v>1874</v>
      </c>
      <c r="B21" s="116" t="s">
        <v>28</v>
      </c>
      <c r="C21" s="116" t="s">
        <v>11</v>
      </c>
      <c r="D21" s="117">
        <v>43282</v>
      </c>
      <c r="E21" s="118">
        <v>71270</v>
      </c>
      <c r="F21" s="116">
        <v>13</v>
      </c>
      <c r="G21" s="119">
        <v>3.8999999999999998E-3</v>
      </c>
      <c r="H21" s="120">
        <v>142479.52031448073</v>
      </c>
      <c r="I21" s="121">
        <f t="shared" si="0"/>
        <v>219888.58987428818</v>
      </c>
      <c r="J21" s="121">
        <f>VLOOKUP(F21,'[6]נתונים נוספים'!$A$4:$D$9,VLOOKUP([7]FREQUENCY!C21,'[6]נתונים נוספים'!$F$4:$G$6,2,0),0)*[7]FREQUENCY!$B$28*H21</f>
        <v>94962.600289601411</v>
      </c>
      <c r="K21" s="122" t="str">
        <f t="shared" si="1"/>
        <v>יולי</v>
      </c>
      <c r="L21" s="123">
        <f t="shared" si="2"/>
        <v>43537</v>
      </c>
      <c r="M21" s="122" t="str">
        <f t="shared" si="3"/>
        <v>חופשה בפריז</v>
      </c>
      <c r="N21" s="122" t="str">
        <f t="shared" si="4"/>
        <v>EL</v>
      </c>
    </row>
    <row r="22" spans="1:19" ht="14.4" x14ac:dyDescent="0.3">
      <c r="A22" s="116">
        <v>1875</v>
      </c>
      <c r="B22" s="116" t="s">
        <v>29</v>
      </c>
      <c r="C22" s="116" t="s">
        <v>11</v>
      </c>
      <c r="D22" s="117">
        <v>43497</v>
      </c>
      <c r="E22" s="118">
        <v>10129</v>
      </c>
      <c r="F22" s="116">
        <v>14</v>
      </c>
      <c r="G22" s="119">
        <v>1.1000000000000001E-3</v>
      </c>
      <c r="H22" s="120">
        <v>22812.44860458418</v>
      </c>
      <c r="I22" s="121">
        <f t="shared" si="0"/>
        <v>39275.440114469333</v>
      </c>
      <c r="J22" s="121">
        <f>VLOOKUP(F22,'[6]נתונים נוספים'!$A$4:$D$9,VLOOKUP([7]FREQUENCY!C22,'[6]נתונים נוספים'!$F$4:$G$6,2,0),0)*[7]FREQUENCY!$B$28*H22</f>
        <v>10607.788601131644</v>
      </c>
      <c r="K22" s="122" t="str">
        <f t="shared" si="1"/>
        <v>פברואר</v>
      </c>
      <c r="L22" s="123">
        <f t="shared" si="2"/>
        <v>44621</v>
      </c>
      <c r="M22" s="122" t="str">
        <f t="shared" si="3"/>
        <v>חופשה באילת</v>
      </c>
      <c r="N22" s="122" t="str">
        <f t="shared" si="4"/>
        <v>KK</v>
      </c>
    </row>
    <row r="23" spans="1:19" ht="14.4" x14ac:dyDescent="0.3">
      <c r="A23" s="116">
        <v>1876</v>
      </c>
      <c r="B23" s="116" t="s">
        <v>30</v>
      </c>
      <c r="C23" s="116" t="s">
        <v>19</v>
      </c>
      <c r="D23" s="117">
        <v>42752</v>
      </c>
      <c r="E23" s="118">
        <v>143689</v>
      </c>
      <c r="F23" s="116">
        <v>13</v>
      </c>
      <c r="G23" s="119">
        <v>2.8999999999999998E-3</v>
      </c>
      <c r="H23" s="120">
        <v>1900016.8003544933</v>
      </c>
      <c r="I23" s="121">
        <f t="shared" si="0"/>
        <v>5428826.7941737426</v>
      </c>
      <c r="J23" s="121">
        <f>VLOOKUP(F23,'[6]נתונים נוספים'!$A$4:$D$9,VLOOKUP([7]FREQUENCY!C23,'[6]נתונים נוספים'!$F$4:$G$6,2,0),0)*[7]FREQUENCY!$B$28*H23</f>
        <v>1266361.1974362698</v>
      </c>
      <c r="K23" s="122" t="str">
        <f t="shared" si="1"/>
        <v>ינואר</v>
      </c>
      <c r="L23" s="123">
        <f t="shared" si="2"/>
        <v>43007</v>
      </c>
      <c r="M23" s="122" t="str">
        <f t="shared" si="3"/>
        <v>ללא מתנה</v>
      </c>
      <c r="N23" s="122" t="str">
        <f t="shared" si="4"/>
        <v>MC</v>
      </c>
    </row>
    <row r="24" spans="1:19" ht="14.4" x14ac:dyDescent="0.3">
      <c r="A24" s="116">
        <v>1877</v>
      </c>
      <c r="B24" s="116" t="s">
        <v>31</v>
      </c>
      <c r="C24" s="116" t="s">
        <v>19</v>
      </c>
      <c r="D24" s="117">
        <v>43140</v>
      </c>
      <c r="E24" s="118">
        <v>25719</v>
      </c>
      <c r="F24" s="116">
        <v>12</v>
      </c>
      <c r="G24" s="119">
        <v>5.7999999999999996E-3</v>
      </c>
      <c r="H24" s="120">
        <v>186489.11906743521</v>
      </c>
      <c r="I24" s="121">
        <f t="shared" si="0"/>
        <v>495496.72236821667</v>
      </c>
      <c r="J24" s="121">
        <f>VLOOKUP(F24,'[6]נתונים נוספים'!$A$4:$D$9,VLOOKUP([7]FREQUENCY!C24,'[6]נתונים נוספים'!$F$4:$G$6,2,0),0)*[7]FREQUENCY!$B$28*H24</f>
        <v>132966.74189508133</v>
      </c>
      <c r="K24" s="122" t="str">
        <f t="shared" si="1"/>
        <v>פברואר</v>
      </c>
      <c r="L24" s="123">
        <f t="shared" si="2"/>
        <v>43394</v>
      </c>
      <c r="M24" s="122" t="str">
        <f t="shared" si="3"/>
        <v>ללא מתנה</v>
      </c>
      <c r="N24" s="122" t="str">
        <f t="shared" si="4"/>
        <v>FJ</v>
      </c>
    </row>
    <row r="25" spans="1:19" ht="14.4" x14ac:dyDescent="0.3">
      <c r="A25" s="116">
        <v>1878</v>
      </c>
      <c r="B25" s="116" t="s">
        <v>32</v>
      </c>
      <c r="C25" s="116" t="s">
        <v>9</v>
      </c>
      <c r="D25" s="117">
        <v>42629</v>
      </c>
      <c r="E25" s="118">
        <v>215746</v>
      </c>
      <c r="F25" s="116">
        <v>14</v>
      </c>
      <c r="G25" s="119">
        <v>8.0000000000000004E-4</v>
      </c>
      <c r="H25" s="120">
        <v>1094342.8807251898</v>
      </c>
      <c r="I25" s="121">
        <f t="shared" si="0"/>
        <v>2721471.4099838901</v>
      </c>
      <c r="J25" s="121">
        <f>VLOOKUP(F25,'[6]נתונים נוספים'!$A$4:$D$9,VLOOKUP([7]FREQUENCY!C25,'[6]נתונים נוספים'!$F$4:$G$6,2,0),0)*[7]FREQUENCY!$B$28*H25</f>
        <v>542794.06883969426</v>
      </c>
      <c r="K25" s="122" t="str">
        <f t="shared" si="1"/>
        <v>ספטמבר</v>
      </c>
      <c r="L25" s="123">
        <f t="shared" si="2"/>
        <v>44636</v>
      </c>
      <c r="M25" s="122" t="str">
        <f t="shared" si="3"/>
        <v>סט סירים</v>
      </c>
      <c r="N25" s="122" t="str">
        <f t="shared" si="4"/>
        <v>AI</v>
      </c>
    </row>
    <row r="26" spans="1:19" ht="14.4" x14ac:dyDescent="0.3">
      <c r="A26" s="116">
        <v>1879</v>
      </c>
      <c r="B26" s="116" t="s">
        <v>33</v>
      </c>
      <c r="C26" s="116" t="s">
        <v>19</v>
      </c>
      <c r="D26" s="117">
        <v>40875</v>
      </c>
      <c r="E26" s="118">
        <v>131191</v>
      </c>
      <c r="F26" s="116">
        <v>10</v>
      </c>
      <c r="G26" s="119">
        <v>6.0000000000000001E-3</v>
      </c>
      <c r="H26" s="120">
        <v>203520.29998243746</v>
      </c>
      <c r="I26" s="121">
        <f>(H26-E26)*$B$28*(1-G26)</f>
        <v>222875.50496588278</v>
      </c>
      <c r="J26" s="121">
        <f>VLOOKUP(F26,'[6]נתונים נוספים'!$A$4:$D$9,VLOOKUP([7]FREQUENCY!C26,'[6]נתונים נוספים'!$F$4:$G$6,2,0),0)*[7]FREQUENCY!$B$28*H26</f>
        <v>63091.292994555624</v>
      </c>
      <c r="K26" s="122" t="str">
        <f t="shared" si="1"/>
        <v>נובמבר</v>
      </c>
      <c r="L26" s="123">
        <f t="shared" si="2"/>
        <v>41130</v>
      </c>
      <c r="M26" s="122" t="str">
        <f t="shared" si="3"/>
        <v>ללא מתנה</v>
      </c>
      <c r="N26" s="122" t="str">
        <f t="shared" si="4"/>
        <v>GI</v>
      </c>
    </row>
    <row r="27" spans="1:19" ht="14.4" thickBot="1" x14ac:dyDescent="0.3">
      <c r="S27" s="299"/>
    </row>
    <row r="28" spans="1:19" ht="14.4" thickBot="1" x14ac:dyDescent="0.3">
      <c r="A28" s="127" t="s">
        <v>97</v>
      </c>
      <c r="B28" s="128">
        <v>3.1</v>
      </c>
    </row>
    <row r="30" spans="1:19" x14ac:dyDescent="0.25">
      <c r="A30" s="124"/>
      <c r="B30" s="124"/>
      <c r="C30" s="124"/>
      <c r="D30" s="124"/>
      <c r="E30" s="124"/>
    </row>
    <row r="31" spans="1:19" x14ac:dyDescent="0.25">
      <c r="A31" s="124"/>
      <c r="B31" s="129"/>
      <c r="C31" s="129"/>
      <c r="D31" s="124"/>
      <c r="E31" s="124"/>
      <c r="L31" s="130">
        <f>MIN(L2:L26)</f>
        <v>40688</v>
      </c>
      <c r="R31" s="270"/>
    </row>
    <row r="32" spans="1:19" ht="14.4" x14ac:dyDescent="0.3">
      <c r="L32" s="131" t="s">
        <v>9</v>
      </c>
      <c r="M32" s="116" t="s">
        <v>9</v>
      </c>
    </row>
    <row r="33" spans="1:24" ht="14.4" x14ac:dyDescent="0.3">
      <c r="L33" s="132">
        <v>55000</v>
      </c>
      <c r="M33" s="116" t="s">
        <v>11</v>
      </c>
      <c r="R33" s="443" t="s">
        <v>313</v>
      </c>
      <c r="S33" s="443"/>
      <c r="T33" s="443"/>
      <c r="U33" s="443"/>
      <c r="V33" s="443"/>
      <c r="W33" s="443"/>
      <c r="X33" s="443"/>
    </row>
    <row r="34" spans="1:24" x14ac:dyDescent="0.25">
      <c r="A34" s="124"/>
      <c r="B34" s="124"/>
      <c r="L34" s="132">
        <v>2</v>
      </c>
      <c r="M34" s="133">
        <v>65000</v>
      </c>
      <c r="R34" s="443"/>
      <c r="S34" s="443"/>
      <c r="T34" s="443"/>
      <c r="U34" s="443"/>
      <c r="V34" s="443"/>
      <c r="W34" s="443"/>
      <c r="X34" s="443"/>
    </row>
    <row r="35" spans="1:24" x14ac:dyDescent="0.25">
      <c r="A35" s="124"/>
      <c r="B35" s="124"/>
      <c r="L35" s="132">
        <v>1</v>
      </c>
      <c r="M35" s="133" t="s">
        <v>100</v>
      </c>
    </row>
    <row r="36" spans="1:24" x14ac:dyDescent="0.25">
      <c r="A36" s="124"/>
      <c r="B36" s="124"/>
      <c r="L36" s="132">
        <v>2022</v>
      </c>
      <c r="M36" s="133" t="s">
        <v>102</v>
      </c>
    </row>
    <row r="37" spans="1:24" x14ac:dyDescent="0.25">
      <c r="A37" s="124"/>
      <c r="B37" s="124"/>
      <c r="L37" s="132">
        <v>3</v>
      </c>
      <c r="M37" s="133">
        <v>2012</v>
      </c>
    </row>
    <row r="38" spans="1:24" x14ac:dyDescent="0.25">
      <c r="A38" s="124"/>
      <c r="B38" s="124"/>
      <c r="L38" s="132">
        <v>8</v>
      </c>
      <c r="M38" s="133">
        <v>2016</v>
      </c>
    </row>
    <row r="39" spans="1:24" x14ac:dyDescent="0.25">
      <c r="A39" s="124"/>
      <c r="B39" s="124"/>
      <c r="L39" s="132">
        <v>12</v>
      </c>
      <c r="M39" s="133" t="s">
        <v>103</v>
      </c>
    </row>
    <row r="40" spans="1:24" x14ac:dyDescent="0.25">
      <c r="A40" s="124"/>
      <c r="B40" s="124"/>
      <c r="L40" s="132">
        <v>14</v>
      </c>
      <c r="M40" s="133" t="s">
        <v>96</v>
      </c>
    </row>
    <row r="41" spans="1:24" x14ac:dyDescent="0.25">
      <c r="A41" s="124"/>
      <c r="B41" s="134"/>
      <c r="L41" s="132">
        <v>15</v>
      </c>
      <c r="M41" s="133" t="s">
        <v>104</v>
      </c>
    </row>
    <row r="42" spans="1:24" x14ac:dyDescent="0.25">
      <c r="M42" s="133" t="s">
        <v>105</v>
      </c>
    </row>
    <row r="44" spans="1:24" x14ac:dyDescent="0.25">
      <c r="M44" s="133" t="s">
        <v>96</v>
      </c>
    </row>
    <row r="46" spans="1:24" x14ac:dyDescent="0.25">
      <c r="M46" s="135">
        <f>COUNTIF(M2:M26,M44)</f>
        <v>4</v>
      </c>
    </row>
  </sheetData>
  <mergeCells count="1">
    <mergeCell ref="R33:X3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7AEA-1B9B-42E1-94C3-12100543B6D0}">
  <dimension ref="A1:T58"/>
  <sheetViews>
    <sheetView rightToLeft="1" workbookViewId="0">
      <selection activeCell="M27" sqref="M27"/>
    </sheetView>
  </sheetViews>
  <sheetFormatPr defaultRowHeight="13.8" x14ac:dyDescent="0.25"/>
  <cols>
    <col min="1" max="1" width="8" bestFit="1" customWidth="1"/>
    <col min="2" max="2" width="11" bestFit="1" customWidth="1"/>
    <col min="3" max="3" width="9.19921875" bestFit="1" customWidth="1"/>
    <col min="5" max="5" width="9.296875" bestFit="1" customWidth="1"/>
    <col min="6" max="6" width="8.69921875" bestFit="1" customWidth="1"/>
    <col min="10" max="10" width="12.09765625" customWidth="1"/>
    <col min="11" max="11" width="1.5" bestFit="1" customWidth="1"/>
    <col min="12" max="12" width="4.3984375" bestFit="1" customWidth="1"/>
    <col min="13" max="13" width="7.59765625" bestFit="1" customWidth="1"/>
    <col min="14" max="14" width="5.3984375" bestFit="1" customWidth="1"/>
    <col min="17" max="17" width="9.8984375" bestFit="1" customWidth="1"/>
    <col min="19" max="19" width="11" bestFit="1" customWidth="1"/>
  </cols>
  <sheetData>
    <row r="1" spans="1:9" ht="39.6" x14ac:dyDescent="0.25">
      <c r="A1" s="271" t="s">
        <v>314</v>
      </c>
      <c r="B1" s="271" t="s">
        <v>315</v>
      </c>
      <c r="C1" s="271" t="s">
        <v>110</v>
      </c>
      <c r="D1" s="271" t="s">
        <v>316</v>
      </c>
      <c r="E1" s="271" t="s">
        <v>317</v>
      </c>
      <c r="F1" s="271" t="s">
        <v>318</v>
      </c>
      <c r="G1" s="272" t="s">
        <v>319</v>
      </c>
      <c r="H1" s="271" t="s">
        <v>320</v>
      </c>
      <c r="I1" s="271" t="s">
        <v>321</v>
      </c>
    </row>
    <row r="2" spans="1:9" x14ac:dyDescent="0.25">
      <c r="A2" s="273">
        <v>1304</v>
      </c>
      <c r="B2" s="274" t="s">
        <v>322</v>
      </c>
      <c r="C2" s="231" t="s">
        <v>72</v>
      </c>
      <c r="D2" s="275">
        <v>28889.033680555556</v>
      </c>
      <c r="E2" s="231" t="s">
        <v>323</v>
      </c>
      <c r="F2" s="276">
        <v>19774</v>
      </c>
      <c r="G2">
        <f ca="1">YEAR(TODAY())-YEAR(D2)</f>
        <v>47</v>
      </c>
      <c r="H2" t="str">
        <f>_xlfn.XLOOKUP(C2,'[8]נתוני עזר'!$A$4:$A$11,'[8]נתוני עזר'!$C$4:$C$11)</f>
        <v>מרכז</v>
      </c>
      <c r="I2" s="277"/>
    </row>
    <row r="3" spans="1:9" x14ac:dyDescent="0.25">
      <c r="A3" s="273">
        <v>1333</v>
      </c>
      <c r="B3" s="274" t="s">
        <v>324</v>
      </c>
      <c r="C3" s="231" t="s">
        <v>325</v>
      </c>
      <c r="D3" s="275">
        <v>30017.130525706405</v>
      </c>
      <c r="E3" s="231" t="s">
        <v>326</v>
      </c>
      <c r="F3" s="276">
        <v>11506</v>
      </c>
      <c r="G3">
        <f t="shared" ref="G3:G58" ca="1" si="0">YEAR(TODAY())-YEAR(D3)</f>
        <v>44</v>
      </c>
      <c r="H3" t="str">
        <f>_xlfn.XLOOKUP(C3,'[8]נתוני עזר'!$A$4:$A$11,'[8]נתוני עזר'!$C$4:$C$11)</f>
        <v>דרום</v>
      </c>
      <c r="I3" s="277"/>
    </row>
    <row r="4" spans="1:9" x14ac:dyDescent="0.25">
      <c r="A4" s="273">
        <v>1406</v>
      </c>
      <c r="B4" s="274" t="s">
        <v>327</v>
      </c>
      <c r="C4" s="231" t="s">
        <v>66</v>
      </c>
      <c r="D4" s="275">
        <v>20941</v>
      </c>
      <c r="E4" s="231" t="s">
        <v>328</v>
      </c>
      <c r="F4" s="276">
        <v>17310</v>
      </c>
      <c r="G4">
        <f t="shared" ca="1" si="0"/>
        <v>69</v>
      </c>
      <c r="H4" t="str">
        <f>_xlfn.XLOOKUP(C4,'[8]נתוני עזר'!$A$4:$A$11,'[8]נתוני עזר'!$C$4:$C$11)</f>
        <v>מרכז</v>
      </c>
      <c r="I4" s="277"/>
    </row>
    <row r="5" spans="1:9" x14ac:dyDescent="0.25">
      <c r="A5" s="273">
        <v>1407</v>
      </c>
      <c r="B5" s="274" t="s">
        <v>329</v>
      </c>
      <c r="C5" s="231" t="s">
        <v>330</v>
      </c>
      <c r="D5" s="275">
        <v>31929.944282407407</v>
      </c>
      <c r="E5" s="231" t="s">
        <v>331</v>
      </c>
      <c r="F5" s="276">
        <v>17310</v>
      </c>
      <c r="G5">
        <f t="shared" ca="1" si="0"/>
        <v>39</v>
      </c>
      <c r="H5" t="str">
        <f>_xlfn.XLOOKUP(C5,'[8]נתוני עזר'!$A$4:$A$11,'[8]נתוני עזר'!$C$4:$C$11)</f>
        <v>מרכז</v>
      </c>
      <c r="I5" s="277"/>
    </row>
    <row r="6" spans="1:9" x14ac:dyDescent="0.25">
      <c r="A6" s="273">
        <v>1935</v>
      </c>
      <c r="B6" s="274" t="s">
        <v>332</v>
      </c>
      <c r="C6" s="231" t="s">
        <v>325</v>
      </c>
      <c r="D6" s="275">
        <v>18948</v>
      </c>
      <c r="E6" s="231" t="s">
        <v>333</v>
      </c>
      <c r="F6" s="276">
        <v>19148</v>
      </c>
      <c r="G6">
        <f t="shared" ca="1" si="0"/>
        <v>75</v>
      </c>
      <c r="H6" t="str">
        <f>_xlfn.XLOOKUP(C6,'[8]נתוני עזר'!$A$4:$A$11,'[8]נתוני עזר'!$C$4:$C$11)</f>
        <v>דרום</v>
      </c>
      <c r="I6" s="277"/>
    </row>
    <row r="7" spans="1:9" x14ac:dyDescent="0.25">
      <c r="A7" s="273">
        <v>2060</v>
      </c>
      <c r="B7" s="274" t="s">
        <v>334</v>
      </c>
      <c r="C7" s="231" t="s">
        <v>67</v>
      </c>
      <c r="D7" s="275">
        <v>19019</v>
      </c>
      <c r="E7" s="231" t="s">
        <v>323</v>
      </c>
      <c r="F7" s="276">
        <v>11659</v>
      </c>
      <c r="G7">
        <f t="shared" ca="1" si="0"/>
        <v>74</v>
      </c>
      <c r="H7" t="str">
        <f>_xlfn.XLOOKUP(C7,'[8]נתוני עזר'!$A$4:$A$11,'[8]נתוני עזר'!$C$4:$C$11)</f>
        <v>מרכז</v>
      </c>
      <c r="I7" s="277"/>
    </row>
    <row r="8" spans="1:9" x14ac:dyDescent="0.25">
      <c r="A8" s="273">
        <v>2147</v>
      </c>
      <c r="B8" s="274" t="s">
        <v>335</v>
      </c>
      <c r="C8" s="231" t="s">
        <v>336</v>
      </c>
      <c r="D8" s="275">
        <v>30461</v>
      </c>
      <c r="E8" s="231" t="s">
        <v>328</v>
      </c>
      <c r="F8" s="276">
        <v>25802</v>
      </c>
      <c r="G8">
        <f t="shared" ca="1" si="0"/>
        <v>43</v>
      </c>
      <c r="H8" t="str">
        <f>_xlfn.XLOOKUP(C8,'[8]נתוני עזר'!$A$4:$A$11,'[8]נתוני עזר'!$C$4:$C$11)</f>
        <v>מרכז</v>
      </c>
      <c r="I8" s="277"/>
    </row>
    <row r="9" spans="1:9" x14ac:dyDescent="0.25">
      <c r="A9" s="273">
        <v>2309</v>
      </c>
      <c r="B9" s="274" t="s">
        <v>337</v>
      </c>
      <c r="C9" s="231" t="s">
        <v>72</v>
      </c>
      <c r="D9" s="275">
        <v>23415</v>
      </c>
      <c r="E9" s="231" t="s">
        <v>338</v>
      </c>
      <c r="F9" s="276">
        <v>24096</v>
      </c>
      <c r="G9">
        <f t="shared" ca="1" si="0"/>
        <v>62</v>
      </c>
      <c r="H9" t="str">
        <f>_xlfn.XLOOKUP(C9,'[8]נתוני עזר'!$A$4:$A$11,'[8]נתוני עזר'!$C$4:$C$11)</f>
        <v>מרכז</v>
      </c>
      <c r="I9" s="277"/>
    </row>
    <row r="10" spans="1:9" x14ac:dyDescent="0.25">
      <c r="A10" s="273">
        <v>2361</v>
      </c>
      <c r="B10" s="274" t="s">
        <v>339</v>
      </c>
      <c r="C10" s="231" t="s">
        <v>325</v>
      </c>
      <c r="D10" s="275">
        <v>30293</v>
      </c>
      <c r="E10" s="231" t="s">
        <v>340</v>
      </c>
      <c r="F10" s="276">
        <v>4650</v>
      </c>
      <c r="G10">
        <f t="shared" ca="1" si="0"/>
        <v>44</v>
      </c>
      <c r="H10" t="str">
        <f>_xlfn.XLOOKUP(C10,'[8]נתוני עזר'!$A$4:$A$11,'[8]נתוני עזר'!$C$4:$C$11)</f>
        <v>דרום</v>
      </c>
      <c r="I10" s="277"/>
    </row>
    <row r="11" spans="1:9" x14ac:dyDescent="0.25">
      <c r="A11" s="273">
        <v>3074</v>
      </c>
      <c r="B11" s="274" t="s">
        <v>341</v>
      </c>
      <c r="C11" s="278" t="s">
        <v>73</v>
      </c>
      <c r="D11" s="275">
        <v>21078</v>
      </c>
      <c r="E11" s="231" t="s">
        <v>323</v>
      </c>
      <c r="F11" s="276">
        <v>13765</v>
      </c>
      <c r="G11">
        <f t="shared" ca="1" si="0"/>
        <v>69</v>
      </c>
      <c r="H11" t="str">
        <f>_xlfn.XLOOKUP(C11,'[8]נתוני עזר'!$A$4:$A$11,'[8]נתוני עזר'!$C$4:$C$11)</f>
        <v>צפון</v>
      </c>
      <c r="I11" s="277"/>
    </row>
    <row r="12" spans="1:9" x14ac:dyDescent="0.25">
      <c r="A12" s="273">
        <v>3090</v>
      </c>
      <c r="B12" s="274" t="s">
        <v>342</v>
      </c>
      <c r="C12" s="231" t="s">
        <v>263</v>
      </c>
      <c r="D12" s="275">
        <v>21247</v>
      </c>
      <c r="E12" s="231" t="s">
        <v>40</v>
      </c>
      <c r="F12" s="276">
        <v>10173</v>
      </c>
      <c r="G12">
        <f t="shared" ca="1" si="0"/>
        <v>68</v>
      </c>
      <c r="H12" t="str">
        <f>_xlfn.XLOOKUP(C12,'[8]נתוני עזר'!$A$4:$A$11,'[8]נתוני עזר'!$C$4:$C$11)</f>
        <v>צפון</v>
      </c>
      <c r="I12" s="277"/>
    </row>
    <row r="13" spans="1:9" x14ac:dyDescent="0.25">
      <c r="A13" s="273">
        <v>3145</v>
      </c>
      <c r="B13" s="274" t="s">
        <v>343</v>
      </c>
      <c r="C13" s="231" t="s">
        <v>336</v>
      </c>
      <c r="D13" s="275">
        <v>30273</v>
      </c>
      <c r="E13" s="231" t="s">
        <v>344</v>
      </c>
      <c r="F13" s="276">
        <v>6902</v>
      </c>
      <c r="G13">
        <f t="shared" ca="1" si="0"/>
        <v>44</v>
      </c>
      <c r="H13" t="str">
        <f>_xlfn.XLOOKUP(C13,'[8]נתוני עזר'!$A$4:$A$11,'[8]נתוני עזר'!$C$4:$C$11)</f>
        <v>מרכז</v>
      </c>
      <c r="I13" s="277"/>
    </row>
    <row r="14" spans="1:9" x14ac:dyDescent="0.25">
      <c r="A14" s="273">
        <v>3156</v>
      </c>
      <c r="B14" s="274" t="s">
        <v>345</v>
      </c>
      <c r="C14" s="231" t="s">
        <v>72</v>
      </c>
      <c r="D14" s="275">
        <v>32146</v>
      </c>
      <c r="E14" s="231" t="s">
        <v>346</v>
      </c>
      <c r="F14" s="276">
        <v>19171</v>
      </c>
      <c r="G14">
        <f t="shared" ca="1" si="0"/>
        <v>38</v>
      </c>
      <c r="H14" t="str">
        <f>_xlfn.XLOOKUP(C14,'[8]נתוני עזר'!$A$4:$A$11,'[8]נתוני עזר'!$C$4:$C$11)</f>
        <v>מרכז</v>
      </c>
      <c r="I14" s="277"/>
    </row>
    <row r="15" spans="1:9" x14ac:dyDescent="0.25">
      <c r="A15" s="273">
        <v>3160</v>
      </c>
      <c r="B15" s="274" t="s">
        <v>347</v>
      </c>
      <c r="C15" s="278" t="s">
        <v>73</v>
      </c>
      <c r="D15" s="275">
        <v>27838</v>
      </c>
      <c r="E15" s="231" t="s">
        <v>333</v>
      </c>
      <c r="F15" s="276">
        <v>29918</v>
      </c>
      <c r="G15">
        <f t="shared" ca="1" si="0"/>
        <v>50</v>
      </c>
      <c r="H15" t="str">
        <f>_xlfn.XLOOKUP(C15,'[8]נתוני עזר'!$A$4:$A$11,'[8]נתוני עזר'!$C$4:$C$11)</f>
        <v>צפון</v>
      </c>
      <c r="I15" s="277"/>
    </row>
    <row r="16" spans="1:9" x14ac:dyDescent="0.25">
      <c r="A16" s="273">
        <v>3298</v>
      </c>
      <c r="B16" s="274" t="s">
        <v>348</v>
      </c>
      <c r="C16" s="231" t="s">
        <v>330</v>
      </c>
      <c r="D16" s="275">
        <v>21511</v>
      </c>
      <c r="E16" s="231" t="s">
        <v>346</v>
      </c>
      <c r="F16" s="276">
        <v>10665</v>
      </c>
      <c r="G16">
        <f t="shared" ca="1" si="0"/>
        <v>68</v>
      </c>
      <c r="H16" t="str">
        <f>_xlfn.XLOOKUP(C16,'[8]נתוני עזר'!$A$4:$A$11,'[8]נתוני עזר'!$C$4:$C$11)</f>
        <v>מרכז</v>
      </c>
      <c r="I16" s="277"/>
    </row>
    <row r="17" spans="1:20" x14ac:dyDescent="0.25">
      <c r="A17" s="273">
        <v>3490</v>
      </c>
      <c r="B17" s="274" t="s">
        <v>349</v>
      </c>
      <c r="C17" s="231" t="s">
        <v>73</v>
      </c>
      <c r="D17" s="275">
        <v>28374</v>
      </c>
      <c r="E17" s="231" t="s">
        <v>346</v>
      </c>
      <c r="F17" s="276">
        <v>15631</v>
      </c>
      <c r="G17">
        <f t="shared" ca="1" si="0"/>
        <v>49</v>
      </c>
      <c r="H17" t="str">
        <f>_xlfn.XLOOKUP(C17,'[8]נתוני עזר'!$A$4:$A$11,'[8]נתוני עזר'!$C$4:$C$11)</f>
        <v>צפון</v>
      </c>
      <c r="I17" s="277"/>
    </row>
    <row r="18" spans="1:20" x14ac:dyDescent="0.25">
      <c r="A18" s="273">
        <v>3951</v>
      </c>
      <c r="B18" s="274" t="s">
        <v>350</v>
      </c>
      <c r="C18" s="231" t="s">
        <v>67</v>
      </c>
      <c r="D18" s="275">
        <v>17621</v>
      </c>
      <c r="E18" s="231" t="s">
        <v>328</v>
      </c>
      <c r="F18" s="276">
        <v>29169</v>
      </c>
      <c r="G18">
        <f t="shared" ca="1" si="0"/>
        <v>78</v>
      </c>
      <c r="H18" t="str">
        <f>_xlfn.XLOOKUP(C18,'[8]נתוני עזר'!$A$4:$A$11,'[8]נתוני עזר'!$C$4:$C$11)</f>
        <v>מרכז</v>
      </c>
      <c r="I18" s="277"/>
      <c r="S18" s="91"/>
    </row>
    <row r="19" spans="1:20" ht="15.6" x14ac:dyDescent="0.3">
      <c r="A19" s="273">
        <v>3981</v>
      </c>
      <c r="B19" s="274" t="s">
        <v>351</v>
      </c>
      <c r="C19" s="231" t="s">
        <v>336</v>
      </c>
      <c r="D19" s="275">
        <v>32113</v>
      </c>
      <c r="E19" s="231" t="s">
        <v>338</v>
      </c>
      <c r="F19" s="276">
        <v>30842</v>
      </c>
      <c r="G19">
        <f t="shared" ca="1" si="0"/>
        <v>39</v>
      </c>
      <c r="H19" t="str">
        <f>_xlfn.XLOOKUP(C19,'[8]נתוני עזר'!$A$4:$A$11,'[8]נתוני עזר'!$C$4:$C$11)</f>
        <v>מרכז</v>
      </c>
      <c r="I19" s="277"/>
      <c r="K19" s="301"/>
      <c r="L19" s="302"/>
      <c r="M19" s="303"/>
      <c r="N19" s="302"/>
      <c r="O19" s="304"/>
      <c r="P19" s="305"/>
      <c r="Q19" s="306"/>
    </row>
    <row r="20" spans="1:20" x14ac:dyDescent="0.25">
      <c r="A20" s="273">
        <v>4087</v>
      </c>
      <c r="B20" s="274" t="s">
        <v>352</v>
      </c>
      <c r="C20" s="231" t="s">
        <v>72</v>
      </c>
      <c r="D20" s="275">
        <v>28785</v>
      </c>
      <c r="E20" s="231" t="s">
        <v>326</v>
      </c>
      <c r="F20" s="276">
        <v>24072</v>
      </c>
      <c r="G20">
        <f t="shared" ca="1" si="0"/>
        <v>48</v>
      </c>
      <c r="H20" t="str">
        <f>_xlfn.XLOOKUP(C20,'[8]נתוני עזר'!$A$4:$A$11,'[8]נתוני עזר'!$C$4:$C$11)</f>
        <v>מרכז</v>
      </c>
      <c r="I20" s="277"/>
      <c r="L20" s="231"/>
    </row>
    <row r="21" spans="1:20" ht="15.6" x14ac:dyDescent="0.3">
      <c r="A21" s="273">
        <v>4191</v>
      </c>
      <c r="B21" s="274" t="s">
        <v>353</v>
      </c>
      <c r="C21" s="231" t="s">
        <v>330</v>
      </c>
      <c r="D21" s="275">
        <v>27063</v>
      </c>
      <c r="E21" s="231" t="s">
        <v>331</v>
      </c>
      <c r="F21" s="276">
        <v>18631</v>
      </c>
      <c r="G21">
        <f t="shared" ca="1" si="0"/>
        <v>52</v>
      </c>
      <c r="H21" t="str">
        <f>_xlfn.XLOOKUP(C21,'[8]נתוני עזר'!$A$4:$A$11,'[8]נתוני עזר'!$C$4:$C$11)</f>
        <v>מרכז</v>
      </c>
      <c r="I21" s="277"/>
      <c r="K21" s="307"/>
      <c r="L21" s="307"/>
      <c r="M21" s="308"/>
      <c r="N21" s="309"/>
      <c r="O21" s="310"/>
      <c r="P21" s="305"/>
      <c r="R21" s="305"/>
      <c r="S21" s="300"/>
      <c r="T21" s="277"/>
    </row>
    <row r="22" spans="1:20" x14ac:dyDescent="0.25">
      <c r="A22" s="273">
        <v>4198</v>
      </c>
      <c r="B22" s="274" t="s">
        <v>354</v>
      </c>
      <c r="C22" s="231" t="s">
        <v>325</v>
      </c>
      <c r="D22" s="275">
        <v>23072</v>
      </c>
      <c r="E22" s="231" t="s">
        <v>346</v>
      </c>
      <c r="F22" s="276">
        <v>17510</v>
      </c>
      <c r="G22">
        <f t="shared" ca="1" si="0"/>
        <v>63</v>
      </c>
      <c r="H22" t="str">
        <f>_xlfn.XLOOKUP(C22,'[8]נתוני עזר'!$A$4:$A$11,'[8]נתוני עזר'!$C$4:$C$11)</f>
        <v>דרום</v>
      </c>
      <c r="I22" s="277"/>
      <c r="L22" s="231"/>
    </row>
    <row r="23" spans="1:20" ht="15.6" x14ac:dyDescent="0.3">
      <c r="A23" s="273">
        <v>4256</v>
      </c>
      <c r="B23" s="274" t="s">
        <v>355</v>
      </c>
      <c r="C23" s="231" t="s">
        <v>336</v>
      </c>
      <c r="D23" s="275">
        <v>24738</v>
      </c>
      <c r="E23" s="231" t="s">
        <v>323</v>
      </c>
      <c r="F23" s="276">
        <v>8277</v>
      </c>
      <c r="G23">
        <f t="shared" ca="1" si="0"/>
        <v>59</v>
      </c>
      <c r="H23" t="str">
        <f>_xlfn.XLOOKUP(C23,'[8]נתוני עזר'!$A$4:$A$11,'[8]נתוני עזר'!$C$4:$C$11)</f>
        <v>מרכז</v>
      </c>
      <c r="I23" s="277"/>
      <c r="L23" s="311"/>
      <c r="M23" s="312"/>
      <c r="N23" s="313"/>
      <c r="O23" s="314"/>
      <c r="P23" s="301"/>
      <c r="Q23" s="315"/>
      <c r="R23" s="301"/>
    </row>
    <row r="24" spans="1:20" x14ac:dyDescent="0.25">
      <c r="A24" s="273">
        <v>4314</v>
      </c>
      <c r="B24" s="274" t="s">
        <v>356</v>
      </c>
      <c r="C24" s="231" t="s">
        <v>336</v>
      </c>
      <c r="D24" s="275">
        <v>27382</v>
      </c>
      <c r="E24" s="231" t="s">
        <v>328</v>
      </c>
      <c r="F24" s="276">
        <v>21798</v>
      </c>
      <c r="G24">
        <f t="shared" ca="1" si="0"/>
        <v>52</v>
      </c>
      <c r="H24" t="str">
        <f>_xlfn.XLOOKUP(C24,'[8]נתוני עזר'!$A$4:$A$11,'[8]נתוני עזר'!$C$4:$C$11)</f>
        <v>מרכז</v>
      </c>
      <c r="I24" s="277"/>
      <c r="L24" s="231"/>
      <c r="S24" s="91"/>
    </row>
    <row r="25" spans="1:20" x14ac:dyDescent="0.25">
      <c r="A25" s="273">
        <v>4475</v>
      </c>
      <c r="B25" s="274" t="s">
        <v>357</v>
      </c>
      <c r="C25" s="231" t="s">
        <v>330</v>
      </c>
      <c r="D25" s="275">
        <v>32526</v>
      </c>
      <c r="E25" s="231" t="s">
        <v>338</v>
      </c>
      <c r="F25" s="276">
        <v>28794</v>
      </c>
      <c r="G25">
        <f t="shared" ca="1" si="0"/>
        <v>37</v>
      </c>
      <c r="H25" t="str">
        <f>_xlfn.XLOOKUP(C25,'[8]נתוני עזר'!$A$4:$A$11,'[8]נתוני עזר'!$C$4:$C$11)</f>
        <v>מרכז</v>
      </c>
      <c r="I25" s="277"/>
      <c r="L25" s="231"/>
    </row>
    <row r="26" spans="1:20" x14ac:dyDescent="0.25">
      <c r="A26" s="273">
        <v>4498</v>
      </c>
      <c r="B26" s="274" t="s">
        <v>358</v>
      </c>
      <c r="C26" s="278" t="s">
        <v>73</v>
      </c>
      <c r="D26" s="275">
        <v>29024</v>
      </c>
      <c r="E26" s="231" t="s">
        <v>338</v>
      </c>
      <c r="F26" s="276">
        <v>32123</v>
      </c>
      <c r="G26">
        <f t="shared" ca="1" si="0"/>
        <v>47</v>
      </c>
      <c r="H26" t="str">
        <f>_xlfn.XLOOKUP(C26,'[8]נתוני עזר'!$A$4:$A$11,'[8]נתוני עזר'!$C$4:$C$11)</f>
        <v>צפון</v>
      </c>
      <c r="I26" s="277"/>
    </row>
    <row r="27" spans="1:20" x14ac:dyDescent="0.25">
      <c r="A27" s="273">
        <v>5087</v>
      </c>
      <c r="B27" s="274" t="s">
        <v>359</v>
      </c>
      <c r="C27" s="231" t="s">
        <v>72</v>
      </c>
      <c r="D27" s="275">
        <v>29181</v>
      </c>
      <c r="E27" s="231" t="s">
        <v>40</v>
      </c>
      <c r="F27" s="276">
        <v>27152</v>
      </c>
      <c r="G27">
        <f t="shared" ca="1" si="0"/>
        <v>47</v>
      </c>
      <c r="H27" t="str">
        <f>_xlfn.XLOOKUP(C27,'[8]נתוני עזר'!$A$4:$A$11,'[8]נתוני עזר'!$C$4:$C$11)</f>
        <v>מרכז</v>
      </c>
      <c r="I27" s="277"/>
    </row>
    <row r="28" spans="1:20" x14ac:dyDescent="0.25">
      <c r="A28" s="273">
        <v>5189</v>
      </c>
      <c r="B28" s="274" t="s">
        <v>360</v>
      </c>
      <c r="C28" s="231" t="s">
        <v>325</v>
      </c>
      <c r="D28" s="275">
        <v>27341</v>
      </c>
      <c r="E28" s="231" t="s">
        <v>340</v>
      </c>
      <c r="F28" s="276">
        <v>10391</v>
      </c>
      <c r="G28">
        <f t="shared" ca="1" si="0"/>
        <v>52</v>
      </c>
      <c r="H28" t="str">
        <f>_xlfn.XLOOKUP(C28,'[8]נתוני עזר'!$A$4:$A$11,'[8]נתוני עזר'!$C$4:$C$11)</f>
        <v>דרום</v>
      </c>
      <c r="I28" s="277"/>
    </row>
    <row r="29" spans="1:20" x14ac:dyDescent="0.25">
      <c r="A29" s="273">
        <v>5446</v>
      </c>
      <c r="B29" s="274" t="s">
        <v>361</v>
      </c>
      <c r="C29" s="231" t="s">
        <v>72</v>
      </c>
      <c r="D29" s="275">
        <v>21576</v>
      </c>
      <c r="E29" s="231" t="s">
        <v>346</v>
      </c>
      <c r="F29" s="276">
        <v>20690</v>
      </c>
      <c r="G29">
        <f t="shared" ca="1" si="0"/>
        <v>67</v>
      </c>
      <c r="H29" t="str">
        <f>_xlfn.XLOOKUP(C29,'[8]נתוני עזר'!$A$4:$A$11,'[8]נתוני עזר'!$C$4:$C$11)</f>
        <v>מרכז</v>
      </c>
      <c r="I29" s="277"/>
    </row>
    <row r="30" spans="1:20" x14ac:dyDescent="0.25">
      <c r="A30" s="273">
        <v>5529</v>
      </c>
      <c r="B30" s="274" t="s">
        <v>362</v>
      </c>
      <c r="C30" s="231" t="s">
        <v>336</v>
      </c>
      <c r="D30" s="275">
        <v>23603</v>
      </c>
      <c r="E30" s="231" t="s">
        <v>40</v>
      </c>
      <c r="F30" s="276">
        <v>10265</v>
      </c>
      <c r="G30">
        <f t="shared" ca="1" si="0"/>
        <v>62</v>
      </c>
      <c r="H30" t="str">
        <f>_xlfn.XLOOKUP(C30,'[8]נתוני עזר'!$A$4:$A$11,'[8]נתוני עזר'!$C$4:$C$11)</f>
        <v>מרכז</v>
      </c>
      <c r="I30" s="277"/>
      <c r="M30" s="444"/>
      <c r="N30" s="444"/>
      <c r="O30" s="444"/>
    </row>
    <row r="31" spans="1:20" x14ac:dyDescent="0.25">
      <c r="A31" s="273">
        <v>5565</v>
      </c>
      <c r="B31" s="274" t="s">
        <v>363</v>
      </c>
      <c r="C31" s="231" t="s">
        <v>325</v>
      </c>
      <c r="D31" s="275">
        <v>26391</v>
      </c>
      <c r="E31" s="231" t="s">
        <v>344</v>
      </c>
      <c r="F31" s="276">
        <v>9733</v>
      </c>
      <c r="G31">
        <f t="shared" ca="1" si="0"/>
        <v>54</v>
      </c>
      <c r="H31" t="str">
        <f>_xlfn.XLOOKUP(C31,'[8]נתוני עזר'!$A$4:$A$11,'[8]נתוני עזר'!$C$4:$C$11)</f>
        <v>דרום</v>
      </c>
      <c r="I31" s="277"/>
      <c r="M31" s="271"/>
      <c r="N31" s="271"/>
      <c r="O31" s="271"/>
    </row>
    <row r="32" spans="1:20" x14ac:dyDescent="0.25">
      <c r="A32" s="273">
        <v>5569</v>
      </c>
      <c r="B32" s="274" t="s">
        <v>364</v>
      </c>
      <c r="C32" s="231" t="s">
        <v>67</v>
      </c>
      <c r="D32" s="275">
        <v>27746</v>
      </c>
      <c r="E32" s="231" t="s">
        <v>346</v>
      </c>
      <c r="F32" s="276">
        <v>6005</v>
      </c>
      <c r="G32">
        <f t="shared" ca="1" si="0"/>
        <v>51</v>
      </c>
      <c r="H32" t="str">
        <f>_xlfn.XLOOKUP(C32,'[8]נתוני עזר'!$A$4:$A$11,'[8]נתוני עזר'!$C$4:$C$11)</f>
        <v>מרכז</v>
      </c>
      <c r="I32" s="277"/>
      <c r="M32" s="231"/>
      <c r="N32" s="231"/>
    </row>
    <row r="33" spans="1:14" x14ac:dyDescent="0.25">
      <c r="A33" s="273">
        <v>5875</v>
      </c>
      <c r="B33" s="274" t="s">
        <v>365</v>
      </c>
      <c r="C33" s="231" t="s">
        <v>72</v>
      </c>
      <c r="D33" s="275">
        <v>30469</v>
      </c>
      <c r="E33" s="231" t="s">
        <v>323</v>
      </c>
      <c r="F33" s="276">
        <v>29187</v>
      </c>
      <c r="G33">
        <f t="shared" ca="1" si="0"/>
        <v>43</v>
      </c>
      <c r="H33" t="str">
        <f>_xlfn.XLOOKUP(C33,'[8]נתוני עזר'!$A$4:$A$11,'[8]נתוני עזר'!$C$4:$C$11)</f>
        <v>מרכז</v>
      </c>
      <c r="I33" s="277"/>
      <c r="M33" s="231"/>
      <c r="N33" s="231"/>
    </row>
    <row r="34" spans="1:14" x14ac:dyDescent="0.25">
      <c r="A34" s="273">
        <v>6407</v>
      </c>
      <c r="B34" s="274" t="s">
        <v>366</v>
      </c>
      <c r="C34" s="231" t="s">
        <v>67</v>
      </c>
      <c r="D34" s="275">
        <v>29818</v>
      </c>
      <c r="E34" s="231" t="s">
        <v>344</v>
      </c>
      <c r="F34" s="276">
        <v>30765</v>
      </c>
      <c r="G34">
        <f t="shared" ca="1" si="0"/>
        <v>45</v>
      </c>
      <c r="H34" t="str">
        <f>_xlfn.XLOOKUP(C34,'[8]נתוני עזר'!$A$4:$A$11,'[8]נתוני עזר'!$C$4:$C$11)</f>
        <v>מרכז</v>
      </c>
      <c r="I34" s="277"/>
      <c r="M34" s="231"/>
      <c r="N34" s="231"/>
    </row>
    <row r="35" spans="1:14" x14ac:dyDescent="0.25">
      <c r="A35" s="273">
        <v>6421</v>
      </c>
      <c r="B35" s="274" t="s">
        <v>367</v>
      </c>
      <c r="C35" s="231" t="s">
        <v>330</v>
      </c>
      <c r="D35" s="275">
        <v>30970</v>
      </c>
      <c r="E35" s="231" t="s">
        <v>333</v>
      </c>
      <c r="F35" s="276">
        <v>12110</v>
      </c>
      <c r="G35">
        <f t="shared" ca="1" si="0"/>
        <v>42</v>
      </c>
      <c r="H35" t="str">
        <f>_xlfn.XLOOKUP(C35,'[8]נתוני עזר'!$A$4:$A$11,'[8]נתוני עזר'!$C$4:$C$11)</f>
        <v>מרכז</v>
      </c>
      <c r="I35" s="277"/>
      <c r="M35" s="231"/>
      <c r="N35" s="231"/>
    </row>
    <row r="36" spans="1:14" x14ac:dyDescent="0.25">
      <c r="A36" s="273">
        <v>6577</v>
      </c>
      <c r="B36" s="274" t="s">
        <v>368</v>
      </c>
      <c r="C36" s="231" t="s">
        <v>72</v>
      </c>
      <c r="D36" s="275">
        <v>27317</v>
      </c>
      <c r="E36" s="231" t="s">
        <v>326</v>
      </c>
      <c r="F36" s="276">
        <v>12810</v>
      </c>
      <c r="G36">
        <f t="shared" ca="1" si="0"/>
        <v>52</v>
      </c>
      <c r="H36" t="str">
        <f>_xlfn.XLOOKUP(C36,'[8]נתוני עזר'!$A$4:$A$11,'[8]נתוני עזר'!$C$4:$C$11)</f>
        <v>מרכז</v>
      </c>
      <c r="I36" s="277"/>
    </row>
    <row r="37" spans="1:14" x14ac:dyDescent="0.25">
      <c r="A37" s="273">
        <v>6655</v>
      </c>
      <c r="B37" s="274" t="s">
        <v>369</v>
      </c>
      <c r="C37" s="231" t="s">
        <v>330</v>
      </c>
      <c r="D37" s="275">
        <v>29639</v>
      </c>
      <c r="E37" s="231" t="s">
        <v>331</v>
      </c>
      <c r="F37" s="276">
        <v>22455</v>
      </c>
      <c r="G37">
        <f t="shared" ca="1" si="0"/>
        <v>45</v>
      </c>
      <c r="H37" t="str">
        <f>_xlfn.XLOOKUP(C37,'[8]נתוני עזר'!$A$4:$A$11,'[8]נתוני עזר'!$C$4:$C$11)</f>
        <v>מרכז</v>
      </c>
      <c r="I37" s="277"/>
    </row>
    <row r="38" spans="1:14" x14ac:dyDescent="0.25">
      <c r="A38" s="273">
        <v>6812</v>
      </c>
      <c r="B38" s="274" t="s">
        <v>370</v>
      </c>
      <c r="C38" s="231" t="s">
        <v>325</v>
      </c>
      <c r="D38" s="275">
        <v>31001</v>
      </c>
      <c r="E38" s="231" t="s">
        <v>323</v>
      </c>
      <c r="F38" s="276">
        <v>13450</v>
      </c>
      <c r="G38">
        <f t="shared" ca="1" si="0"/>
        <v>42</v>
      </c>
      <c r="H38" t="str">
        <f>_xlfn.XLOOKUP(C38,'[8]נתוני עזר'!$A$4:$A$11,'[8]נתוני עזר'!$C$4:$C$11)</f>
        <v>דרום</v>
      </c>
      <c r="I38" s="277"/>
    </row>
    <row r="39" spans="1:14" x14ac:dyDescent="0.25">
      <c r="A39" s="273">
        <v>7098</v>
      </c>
      <c r="B39" s="274" t="s">
        <v>371</v>
      </c>
      <c r="C39" s="231" t="s">
        <v>336</v>
      </c>
      <c r="D39" s="275">
        <v>30809</v>
      </c>
      <c r="E39" s="231" t="s">
        <v>333</v>
      </c>
      <c r="F39" s="276">
        <v>33788</v>
      </c>
      <c r="G39">
        <f t="shared" ca="1" si="0"/>
        <v>42</v>
      </c>
      <c r="H39" t="str">
        <f>_xlfn.XLOOKUP(C39,'[8]נתוני עזר'!$A$4:$A$11,'[8]נתוני עזר'!$C$4:$C$11)</f>
        <v>מרכז</v>
      </c>
      <c r="I39" s="277"/>
      <c r="M39" s="300"/>
    </row>
    <row r="40" spans="1:14" x14ac:dyDescent="0.25">
      <c r="A40" s="273">
        <v>7393</v>
      </c>
      <c r="B40" s="274" t="s">
        <v>372</v>
      </c>
      <c r="C40" s="231" t="s">
        <v>325</v>
      </c>
      <c r="D40" s="275">
        <v>25245</v>
      </c>
      <c r="E40" s="231" t="s">
        <v>323</v>
      </c>
      <c r="F40" s="276">
        <v>4592</v>
      </c>
      <c r="G40">
        <f t="shared" ca="1" si="0"/>
        <v>57</v>
      </c>
      <c r="H40" t="str">
        <f>_xlfn.XLOOKUP(C40,'[8]נתוני עזר'!$A$4:$A$11,'[8]נתוני עזר'!$C$4:$C$11)</f>
        <v>דרום</v>
      </c>
      <c r="I40" s="277"/>
    </row>
    <row r="41" spans="1:14" x14ac:dyDescent="0.25">
      <c r="A41" s="273">
        <v>7429</v>
      </c>
      <c r="B41" s="274" t="s">
        <v>373</v>
      </c>
      <c r="C41" s="231" t="s">
        <v>72</v>
      </c>
      <c r="D41" s="275">
        <v>21649</v>
      </c>
      <c r="E41" s="231" t="s">
        <v>328</v>
      </c>
      <c r="F41" s="276">
        <v>8842</v>
      </c>
      <c r="G41">
        <f t="shared" ca="1" si="0"/>
        <v>67</v>
      </c>
      <c r="H41" t="str">
        <f>_xlfn.XLOOKUP(C41,'[8]נתוני עזר'!$A$4:$A$11,'[8]נתוני עזר'!$C$4:$C$11)</f>
        <v>מרכז</v>
      </c>
      <c r="I41" s="277"/>
    </row>
    <row r="42" spans="1:14" x14ac:dyDescent="0.25">
      <c r="A42" s="273">
        <v>7761</v>
      </c>
      <c r="B42" s="274" t="s">
        <v>374</v>
      </c>
      <c r="C42" s="231" t="s">
        <v>325</v>
      </c>
      <c r="D42" s="275">
        <v>21967</v>
      </c>
      <c r="E42" s="231" t="s">
        <v>338</v>
      </c>
      <c r="F42" s="276">
        <v>14588</v>
      </c>
      <c r="G42">
        <f t="shared" ca="1" si="0"/>
        <v>66</v>
      </c>
      <c r="H42" t="str">
        <f>_xlfn.XLOOKUP(C42,'[8]נתוני עזר'!$A$4:$A$11,'[8]נתוני עזר'!$C$4:$C$11)</f>
        <v>דרום</v>
      </c>
      <c r="I42" s="277"/>
    </row>
    <row r="43" spans="1:14" x14ac:dyDescent="0.25">
      <c r="A43" s="273">
        <v>7849</v>
      </c>
      <c r="B43" s="274" t="s">
        <v>375</v>
      </c>
      <c r="C43" s="231" t="s">
        <v>330</v>
      </c>
      <c r="D43" s="275">
        <v>22961</v>
      </c>
      <c r="E43" s="231" t="s">
        <v>340</v>
      </c>
      <c r="F43" s="276">
        <v>15144</v>
      </c>
      <c r="G43">
        <f t="shared" ca="1" si="0"/>
        <v>64</v>
      </c>
      <c r="H43" t="str">
        <f>_xlfn.XLOOKUP(C43,'[8]נתוני עזר'!$A$4:$A$11,'[8]נתוני עזר'!$C$4:$C$11)</f>
        <v>מרכז</v>
      </c>
      <c r="I43" s="277"/>
    </row>
    <row r="44" spans="1:14" x14ac:dyDescent="0.25">
      <c r="A44" s="273">
        <v>7860</v>
      </c>
      <c r="B44" s="274" t="s">
        <v>376</v>
      </c>
      <c r="C44" s="231" t="s">
        <v>330</v>
      </c>
      <c r="D44" s="275">
        <v>25657</v>
      </c>
      <c r="E44" s="231" t="s">
        <v>346</v>
      </c>
      <c r="F44" s="276">
        <v>20811</v>
      </c>
      <c r="G44">
        <f t="shared" ca="1" si="0"/>
        <v>56</v>
      </c>
      <c r="H44" t="str">
        <f>_xlfn.XLOOKUP(C44,'[8]נתוני עזר'!$A$4:$A$11,'[8]נתוני עזר'!$C$4:$C$11)</f>
        <v>מרכז</v>
      </c>
      <c r="I44" s="277"/>
    </row>
    <row r="45" spans="1:14" x14ac:dyDescent="0.25">
      <c r="A45" s="273">
        <v>8063</v>
      </c>
      <c r="B45" s="274" t="s">
        <v>377</v>
      </c>
      <c r="C45" s="231" t="s">
        <v>72</v>
      </c>
      <c r="D45" s="275">
        <v>25503</v>
      </c>
      <c r="E45" s="231" t="s">
        <v>40</v>
      </c>
      <c r="F45" s="276">
        <v>26860</v>
      </c>
      <c r="G45">
        <f t="shared" ca="1" si="0"/>
        <v>57</v>
      </c>
      <c r="H45" t="str">
        <f>_xlfn.XLOOKUP(C45,'[8]נתוני עזר'!$A$4:$A$11,'[8]נתוני עזר'!$C$4:$C$11)</f>
        <v>מרכז</v>
      </c>
      <c r="I45" s="277"/>
    </row>
    <row r="46" spans="1:14" x14ac:dyDescent="0.25">
      <c r="A46" s="273">
        <v>8093</v>
      </c>
      <c r="B46" s="274" t="s">
        <v>378</v>
      </c>
      <c r="C46" s="231" t="s">
        <v>336</v>
      </c>
      <c r="D46" s="275">
        <v>32740</v>
      </c>
      <c r="E46" s="231" t="s">
        <v>344</v>
      </c>
      <c r="F46" s="276">
        <v>33881</v>
      </c>
      <c r="G46">
        <f t="shared" ca="1" si="0"/>
        <v>37</v>
      </c>
      <c r="H46" t="str">
        <f>_xlfn.XLOOKUP(C46,'[8]נתוני עזר'!$A$4:$A$11,'[8]נתוני עזר'!$C$4:$C$11)</f>
        <v>מרכז</v>
      </c>
      <c r="I46" s="277"/>
    </row>
    <row r="47" spans="1:14" x14ac:dyDescent="0.25">
      <c r="A47" s="273">
        <v>8428</v>
      </c>
      <c r="B47" s="274" t="s">
        <v>379</v>
      </c>
      <c r="C47" s="231" t="s">
        <v>330</v>
      </c>
      <c r="D47" s="275">
        <v>26792</v>
      </c>
      <c r="E47" s="231" t="s">
        <v>40</v>
      </c>
      <c r="F47" s="276">
        <v>18234</v>
      </c>
      <c r="G47">
        <f t="shared" ca="1" si="0"/>
        <v>53</v>
      </c>
      <c r="H47" t="str">
        <f>_xlfn.XLOOKUP(C47,'[8]נתוני עזר'!$A$4:$A$11,'[8]נתוני עזר'!$C$4:$C$11)</f>
        <v>מרכז</v>
      </c>
      <c r="I47" s="277"/>
    </row>
    <row r="48" spans="1:14" x14ac:dyDescent="0.25">
      <c r="A48" s="273">
        <v>8547</v>
      </c>
      <c r="B48" s="274" t="s">
        <v>380</v>
      </c>
      <c r="C48" s="231" t="s">
        <v>67</v>
      </c>
      <c r="D48" s="275">
        <v>24625</v>
      </c>
      <c r="E48" s="231" t="s">
        <v>323</v>
      </c>
      <c r="F48" s="276">
        <v>8120</v>
      </c>
      <c r="G48">
        <f t="shared" ca="1" si="0"/>
        <v>59</v>
      </c>
      <c r="H48" t="str">
        <f>_xlfn.XLOOKUP(C48,'[8]נתוני עזר'!$A$4:$A$11,'[8]נתוני עזר'!$C$4:$C$11)</f>
        <v>מרכז</v>
      </c>
      <c r="I48" s="277"/>
    </row>
    <row r="49" spans="1:9" x14ac:dyDescent="0.25">
      <c r="A49" s="273">
        <v>8719</v>
      </c>
      <c r="B49" s="274" t="s">
        <v>381</v>
      </c>
      <c r="C49" s="231" t="s">
        <v>72</v>
      </c>
      <c r="D49" s="275">
        <v>19026</v>
      </c>
      <c r="E49" s="231" t="s">
        <v>326</v>
      </c>
      <c r="F49" s="276">
        <v>4933</v>
      </c>
      <c r="G49">
        <f t="shared" ca="1" si="0"/>
        <v>74</v>
      </c>
      <c r="H49" t="str">
        <f>_xlfn.XLOOKUP(C49,'[8]נתוני עזר'!$A$4:$A$11,'[8]נתוני עזר'!$C$4:$C$11)</f>
        <v>מרכז</v>
      </c>
      <c r="I49" s="277"/>
    </row>
    <row r="50" spans="1:9" x14ac:dyDescent="0.25">
      <c r="A50" s="273">
        <v>8730</v>
      </c>
      <c r="B50" s="274" t="s">
        <v>382</v>
      </c>
      <c r="C50" s="231" t="s">
        <v>67</v>
      </c>
      <c r="D50" s="275">
        <v>27445</v>
      </c>
      <c r="E50" s="231" t="s">
        <v>331</v>
      </c>
      <c r="F50" s="276">
        <v>30741</v>
      </c>
      <c r="G50">
        <f t="shared" ca="1" si="0"/>
        <v>51</v>
      </c>
      <c r="H50" t="str">
        <f>_xlfn.XLOOKUP(C50,'[8]נתוני עזר'!$A$4:$A$11,'[8]נתוני עזר'!$C$4:$C$11)</f>
        <v>מרכז</v>
      </c>
      <c r="I50" s="277"/>
    </row>
    <row r="51" spans="1:9" x14ac:dyDescent="0.25">
      <c r="A51" s="273">
        <v>8733</v>
      </c>
      <c r="B51" s="274" t="s">
        <v>383</v>
      </c>
      <c r="C51" s="231" t="s">
        <v>66</v>
      </c>
      <c r="D51" s="275">
        <v>27445</v>
      </c>
      <c r="E51" s="231" t="s">
        <v>346</v>
      </c>
      <c r="F51" s="276">
        <v>30141</v>
      </c>
      <c r="G51">
        <f t="shared" ca="1" si="0"/>
        <v>51</v>
      </c>
      <c r="H51" t="str">
        <f>_xlfn.XLOOKUP(C51,'[8]נתוני עזר'!$A$4:$A$11,'[8]נתוני עזר'!$C$4:$C$11)</f>
        <v>מרכז</v>
      </c>
      <c r="I51" s="277"/>
    </row>
    <row r="52" spans="1:9" x14ac:dyDescent="0.25">
      <c r="A52" s="273">
        <v>8956</v>
      </c>
      <c r="B52" s="274" t="s">
        <v>384</v>
      </c>
      <c r="C52" s="231" t="s">
        <v>330</v>
      </c>
      <c r="D52" s="275">
        <v>26813</v>
      </c>
      <c r="E52" s="231" t="s">
        <v>333</v>
      </c>
      <c r="F52" s="276">
        <v>17490</v>
      </c>
      <c r="G52">
        <f t="shared" ca="1" si="0"/>
        <v>53</v>
      </c>
      <c r="H52" t="str">
        <f>_xlfn.XLOOKUP(C52,'[8]נתוני עזר'!$A$4:$A$11,'[8]נתוני עזר'!$C$4:$C$11)</f>
        <v>מרכז</v>
      </c>
      <c r="I52" s="277"/>
    </row>
    <row r="53" spans="1:9" x14ac:dyDescent="0.25">
      <c r="A53" s="273">
        <v>9222</v>
      </c>
      <c r="B53" s="274" t="s">
        <v>385</v>
      </c>
      <c r="C53" s="231" t="s">
        <v>336</v>
      </c>
      <c r="D53" s="275">
        <v>20925</v>
      </c>
      <c r="E53" s="231" t="s">
        <v>323</v>
      </c>
      <c r="F53" s="276">
        <v>25296</v>
      </c>
      <c r="G53">
        <f t="shared" ca="1" si="0"/>
        <v>69</v>
      </c>
      <c r="H53" t="str">
        <f>_xlfn.XLOOKUP(C53,'[8]נתוני עזר'!$A$4:$A$11,'[8]נתוני עזר'!$C$4:$C$11)</f>
        <v>מרכז</v>
      </c>
      <c r="I53" s="277"/>
    </row>
    <row r="54" spans="1:9" x14ac:dyDescent="0.25">
      <c r="A54" s="273">
        <v>9248</v>
      </c>
      <c r="B54" s="274" t="s">
        <v>386</v>
      </c>
      <c r="C54" s="231" t="s">
        <v>330</v>
      </c>
      <c r="D54" s="275">
        <v>28425</v>
      </c>
      <c r="E54" s="231" t="s">
        <v>328</v>
      </c>
      <c r="F54" s="276">
        <v>32258</v>
      </c>
      <c r="G54">
        <f t="shared" ca="1" si="0"/>
        <v>49</v>
      </c>
      <c r="H54" t="str">
        <f>_xlfn.XLOOKUP(C54,'[8]נתוני עזר'!$A$4:$A$11,'[8]נתוני עזר'!$C$4:$C$11)</f>
        <v>מרכז</v>
      </c>
      <c r="I54" s="277"/>
    </row>
    <row r="55" spans="1:9" x14ac:dyDescent="0.25">
      <c r="A55" s="273">
        <v>9273</v>
      </c>
      <c r="B55" s="274" t="s">
        <v>387</v>
      </c>
      <c r="C55" s="231" t="s">
        <v>336</v>
      </c>
      <c r="D55" s="275">
        <v>31275</v>
      </c>
      <c r="E55" s="231" t="s">
        <v>338</v>
      </c>
      <c r="F55" s="276">
        <v>10126</v>
      </c>
      <c r="G55">
        <f t="shared" ca="1" si="0"/>
        <v>41</v>
      </c>
      <c r="H55" t="str">
        <f>_xlfn.XLOOKUP(C55,'[8]נתוני עזר'!$A$4:$A$11,'[8]נתוני עזר'!$C$4:$C$11)</f>
        <v>מרכז</v>
      </c>
      <c r="I55" s="277"/>
    </row>
    <row r="56" spans="1:9" x14ac:dyDescent="0.25">
      <c r="A56" s="273">
        <v>9292</v>
      </c>
      <c r="B56" s="274" t="s">
        <v>388</v>
      </c>
      <c r="C56" s="231" t="s">
        <v>336</v>
      </c>
      <c r="D56" s="275">
        <v>18267</v>
      </c>
      <c r="E56" s="231" t="s">
        <v>340</v>
      </c>
      <c r="F56" s="276">
        <v>29509</v>
      </c>
      <c r="G56">
        <f t="shared" ca="1" si="0"/>
        <v>76</v>
      </c>
      <c r="H56" t="str">
        <f>_xlfn.XLOOKUP(C56,'[8]נתוני עזר'!$A$4:$A$11,'[8]נתוני עזר'!$C$4:$C$11)</f>
        <v>מרכז</v>
      </c>
      <c r="I56" s="277"/>
    </row>
    <row r="57" spans="1:9" x14ac:dyDescent="0.25">
      <c r="A57" s="273">
        <v>9412</v>
      </c>
      <c r="B57" s="274" t="s">
        <v>389</v>
      </c>
      <c r="C57" s="231" t="s">
        <v>67</v>
      </c>
      <c r="D57" s="275">
        <v>25865</v>
      </c>
      <c r="E57" s="231" t="s">
        <v>346</v>
      </c>
      <c r="F57" s="276">
        <v>10632</v>
      </c>
      <c r="G57">
        <f t="shared" ca="1" si="0"/>
        <v>56</v>
      </c>
      <c r="H57" t="str">
        <f>_xlfn.XLOOKUP(C57,'[8]נתוני עזר'!$A$4:$A$11,'[8]נתוני עזר'!$C$4:$C$11)</f>
        <v>מרכז</v>
      </c>
      <c r="I57" s="277"/>
    </row>
    <row r="58" spans="1:9" x14ac:dyDescent="0.25">
      <c r="A58" s="273">
        <v>9738</v>
      </c>
      <c r="B58" s="274" t="s">
        <v>390</v>
      </c>
      <c r="C58" s="231" t="s">
        <v>72</v>
      </c>
      <c r="D58" s="275">
        <v>27502</v>
      </c>
      <c r="E58" s="231" t="s">
        <v>338</v>
      </c>
      <c r="F58" s="276">
        <v>13531</v>
      </c>
      <c r="G58">
        <f t="shared" ca="1" si="0"/>
        <v>51</v>
      </c>
      <c r="H58" t="str">
        <f>_xlfn.XLOOKUP(C58,'[8]נתוני עזר'!$A$4:$A$11,'[8]נתוני עזר'!$C$4:$C$11)</f>
        <v>מרכז</v>
      </c>
      <c r="I58" s="277"/>
    </row>
  </sheetData>
  <mergeCells count="1">
    <mergeCell ref="M30:O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312B4-6B4C-4527-8C77-805493465CA3}">
  <sheetPr>
    <tabColor rgb="FF00B050"/>
  </sheetPr>
  <dimension ref="A1:S46"/>
  <sheetViews>
    <sheetView rightToLeft="1" workbookViewId="0">
      <selection activeCell="M20" sqref="M20"/>
    </sheetView>
  </sheetViews>
  <sheetFormatPr defaultRowHeight="13.8" x14ac:dyDescent="0.25"/>
  <cols>
    <col min="1" max="1" width="8.796875" style="9"/>
    <col min="2" max="2" width="10.5" style="9" bestFit="1" customWidth="1"/>
    <col min="3" max="3" width="11" style="9" customWidth="1"/>
    <col min="4" max="4" width="14.69921875" style="9" customWidth="1"/>
    <col min="5" max="5" width="10.5" style="9" bestFit="1" customWidth="1"/>
    <col min="6" max="7" width="8.796875" style="9"/>
    <col min="8" max="8" width="20.8984375" style="9" customWidth="1"/>
    <col min="9" max="9" width="17.5" style="9" customWidth="1"/>
    <col min="10" max="10" width="16.3984375" style="9" customWidth="1"/>
    <col min="11" max="11" width="8.796875" style="9"/>
    <col min="12" max="12" width="61.796875" style="9" bestFit="1" customWidth="1"/>
    <col min="13" max="13" width="27.69921875" style="9" customWidth="1"/>
    <col min="14" max="17" width="8.796875" style="9"/>
    <col min="18" max="19" width="10.59765625" style="9" bestFit="1" customWidth="1"/>
    <col min="20" max="16384" width="8.796875" style="9"/>
  </cols>
  <sheetData>
    <row r="1" spans="1:19" s="1" customFormat="1" ht="57" customHeight="1" x14ac:dyDescent="0.25">
      <c r="A1" s="25" t="s">
        <v>0</v>
      </c>
      <c r="B1" s="286" t="s">
        <v>1</v>
      </c>
      <c r="C1" s="25" t="s">
        <v>2</v>
      </c>
      <c r="D1" s="25" t="s">
        <v>3</v>
      </c>
      <c r="E1" s="25" t="s">
        <v>4</v>
      </c>
      <c r="F1" s="25" t="s">
        <v>5</v>
      </c>
      <c r="G1" s="279" t="s">
        <v>6</v>
      </c>
      <c r="H1" s="281" t="s">
        <v>7</v>
      </c>
      <c r="N1" s="2"/>
      <c r="R1" s="3"/>
      <c r="S1" s="3"/>
    </row>
    <row r="2" spans="1:19" ht="14.4" x14ac:dyDescent="0.25">
      <c r="A2" s="4">
        <v>1855</v>
      </c>
      <c r="B2" s="287" t="s">
        <v>8</v>
      </c>
      <c r="C2" s="4" t="s">
        <v>9</v>
      </c>
      <c r="D2" s="5">
        <v>43723</v>
      </c>
      <c r="E2" s="6">
        <v>2500</v>
      </c>
      <c r="F2" s="4">
        <v>10</v>
      </c>
      <c r="G2" s="280">
        <v>8.9999999999999993E-3</v>
      </c>
      <c r="H2" s="282">
        <v>16761.877886011072</v>
      </c>
      <c r="I2" s="8"/>
      <c r="J2" s="8"/>
      <c r="L2" s="10"/>
      <c r="N2" s="11"/>
      <c r="R2" s="12"/>
      <c r="S2" s="13"/>
    </row>
    <row r="3" spans="1:19" ht="14.4" x14ac:dyDescent="0.25">
      <c r="A3" s="4">
        <v>1856</v>
      </c>
      <c r="B3" s="287" t="s">
        <v>10</v>
      </c>
      <c r="C3" s="4" t="s">
        <v>11</v>
      </c>
      <c r="D3" s="5">
        <v>42075</v>
      </c>
      <c r="E3" s="6">
        <v>146726</v>
      </c>
      <c r="F3" s="4">
        <v>13</v>
      </c>
      <c r="G3" s="280">
        <v>2.8999999999999998E-3</v>
      </c>
      <c r="H3" s="282">
        <v>214094.11260178176</v>
      </c>
      <c r="I3" s="8"/>
      <c r="J3" s="8"/>
      <c r="L3" s="10"/>
      <c r="N3" s="11"/>
      <c r="R3" s="12"/>
      <c r="S3" s="13"/>
    </row>
    <row r="4" spans="1:19" ht="14.4" x14ac:dyDescent="0.25">
      <c r="A4" s="4">
        <v>1857</v>
      </c>
      <c r="B4" s="287" t="s">
        <v>12</v>
      </c>
      <c r="C4" s="4" t="s">
        <v>9</v>
      </c>
      <c r="D4" s="5">
        <v>43007</v>
      </c>
      <c r="E4" s="6">
        <v>253094</v>
      </c>
      <c r="F4" s="4">
        <v>10</v>
      </c>
      <c r="G4" s="280">
        <v>6.0000000000000001E-3</v>
      </c>
      <c r="H4" s="282">
        <v>307637.33883750002</v>
      </c>
      <c r="I4" s="8"/>
      <c r="J4" s="8"/>
      <c r="L4" s="10"/>
      <c r="N4" s="11"/>
      <c r="R4" s="12"/>
      <c r="S4" s="13"/>
    </row>
    <row r="5" spans="1:19" ht="14.4" x14ac:dyDescent="0.25">
      <c r="A5" s="4">
        <v>1858</v>
      </c>
      <c r="B5" s="287" t="s">
        <v>13</v>
      </c>
      <c r="C5" s="4" t="s">
        <v>9</v>
      </c>
      <c r="D5" s="5">
        <v>42367</v>
      </c>
      <c r="E5" s="6">
        <v>70131</v>
      </c>
      <c r="F5" s="4">
        <v>14</v>
      </c>
      <c r="G5" s="280">
        <v>1E-3</v>
      </c>
      <c r="H5" s="282">
        <v>332458.09982047207</v>
      </c>
      <c r="I5" s="8"/>
      <c r="J5" s="8"/>
      <c r="L5" s="10"/>
      <c r="N5" s="11"/>
      <c r="R5" s="12"/>
      <c r="S5" s="13"/>
    </row>
    <row r="6" spans="1:19" ht="14.4" x14ac:dyDescent="0.25">
      <c r="A6" s="4">
        <v>1859</v>
      </c>
      <c r="B6" s="287" t="s">
        <v>14</v>
      </c>
      <c r="C6" s="4" t="s">
        <v>9</v>
      </c>
      <c r="D6" s="5">
        <v>43866</v>
      </c>
      <c r="E6" s="6">
        <v>63372</v>
      </c>
      <c r="F6" s="4">
        <v>15</v>
      </c>
      <c r="G6" s="280">
        <v>1E-3</v>
      </c>
      <c r="H6" s="282">
        <v>1229261.9753939065</v>
      </c>
      <c r="I6" s="8"/>
      <c r="J6" s="8"/>
      <c r="L6" s="10"/>
      <c r="N6" s="11"/>
      <c r="R6" s="12"/>
      <c r="S6" s="13"/>
    </row>
    <row r="7" spans="1:19" ht="14.4" x14ac:dyDescent="0.25">
      <c r="A7" s="4">
        <v>1860</v>
      </c>
      <c r="B7" s="287" t="s">
        <v>13</v>
      </c>
      <c r="C7" s="4" t="s">
        <v>11</v>
      </c>
      <c r="D7" s="5">
        <v>43604</v>
      </c>
      <c r="E7" s="6">
        <v>72483</v>
      </c>
      <c r="F7" s="4">
        <v>15</v>
      </c>
      <c r="G7" s="280">
        <v>1E-3</v>
      </c>
      <c r="H7" s="282">
        <v>1877660.4186721272</v>
      </c>
      <c r="I7" s="8"/>
      <c r="J7" s="8"/>
      <c r="L7" s="10"/>
      <c r="N7" s="11"/>
      <c r="R7" s="12"/>
      <c r="S7" s="13"/>
    </row>
    <row r="8" spans="1:19" ht="15" thickBot="1" x14ac:dyDescent="0.3">
      <c r="A8" s="4">
        <v>1861</v>
      </c>
      <c r="B8" s="287" t="s">
        <v>15</v>
      </c>
      <c r="C8" s="4" t="s">
        <v>11</v>
      </c>
      <c r="D8" s="5">
        <v>42562</v>
      </c>
      <c r="E8" s="6">
        <v>108877</v>
      </c>
      <c r="F8" s="4">
        <v>13</v>
      </c>
      <c r="G8" s="280">
        <v>2.8999999999999998E-3</v>
      </c>
      <c r="H8" s="282">
        <v>986671.12314671697</v>
      </c>
      <c r="I8" s="8"/>
      <c r="J8" s="8"/>
      <c r="L8" s="10"/>
      <c r="N8" s="11"/>
      <c r="R8" s="12"/>
      <c r="S8" s="13"/>
    </row>
    <row r="9" spans="1:19" ht="38.4" customHeight="1" thickBot="1" x14ac:dyDescent="0.3">
      <c r="A9" s="4">
        <v>1862</v>
      </c>
      <c r="B9" s="287" t="s">
        <v>16</v>
      </c>
      <c r="C9" s="4" t="s">
        <v>11</v>
      </c>
      <c r="D9" s="5">
        <v>44321</v>
      </c>
      <c r="E9" s="14">
        <v>96681</v>
      </c>
      <c r="F9" s="4">
        <v>10</v>
      </c>
      <c r="G9" s="17">
        <v>7.0000000000000001E-3</v>
      </c>
      <c r="H9" s="282">
        <v>191421.76696540037</v>
      </c>
      <c r="I9" s="8"/>
      <c r="J9" s="8"/>
      <c r="L9" s="23" t="s">
        <v>34</v>
      </c>
      <c r="M9" s="392">
        <f>MAX(H2:H26)</f>
        <v>3453180.5195543682</v>
      </c>
      <c r="N9" s="11"/>
      <c r="R9" s="12"/>
      <c r="S9" s="13"/>
    </row>
    <row r="10" spans="1:19" ht="15" thickBot="1" x14ac:dyDescent="0.3">
      <c r="A10" s="4">
        <v>1863</v>
      </c>
      <c r="B10" s="288" t="s">
        <v>17</v>
      </c>
      <c r="C10" s="4" t="s">
        <v>11</v>
      </c>
      <c r="D10" s="5">
        <v>43400</v>
      </c>
      <c r="E10" s="14">
        <v>66590</v>
      </c>
      <c r="F10" s="4">
        <v>15</v>
      </c>
      <c r="G10" s="17">
        <v>1E-3</v>
      </c>
      <c r="H10" s="283">
        <v>377756.68354481296</v>
      </c>
      <c r="I10" s="8"/>
      <c r="J10" s="8"/>
      <c r="L10" s="10"/>
      <c r="N10" s="11"/>
      <c r="R10" s="12"/>
      <c r="S10" s="13"/>
    </row>
    <row r="11" spans="1:19" ht="15" thickBot="1" x14ac:dyDescent="0.3">
      <c r="A11" s="15">
        <v>1864</v>
      </c>
      <c r="B11" s="289" t="s">
        <v>18</v>
      </c>
      <c r="C11" s="16" t="s">
        <v>19</v>
      </c>
      <c r="D11" s="5">
        <v>43977</v>
      </c>
      <c r="E11" s="14">
        <v>224708</v>
      </c>
      <c r="F11" s="4">
        <v>10</v>
      </c>
      <c r="G11" s="17">
        <v>6.0000000000000001E-3</v>
      </c>
      <c r="H11" s="391">
        <v>3453180.5195543682</v>
      </c>
      <c r="I11" s="8"/>
      <c r="J11" s="8"/>
      <c r="L11" s="10"/>
      <c r="N11" s="11"/>
      <c r="R11" s="12"/>
      <c r="S11" s="13"/>
    </row>
    <row r="12" spans="1:19" ht="44.4" customHeight="1" thickBot="1" x14ac:dyDescent="0.3">
      <c r="A12" s="4">
        <v>1865</v>
      </c>
      <c r="B12" s="290" t="s">
        <v>20</v>
      </c>
      <c r="C12" s="4" t="s">
        <v>9</v>
      </c>
      <c r="D12" s="5">
        <v>44029</v>
      </c>
      <c r="E12" s="14">
        <v>49492</v>
      </c>
      <c r="F12" s="4">
        <v>14</v>
      </c>
      <c r="G12" s="17">
        <v>1.1000000000000001E-3</v>
      </c>
      <c r="H12" s="284">
        <v>2044762.0534205888</v>
      </c>
      <c r="I12" s="8"/>
      <c r="J12" s="8"/>
      <c r="L12" s="23" t="s">
        <v>35</v>
      </c>
      <c r="M12" s="24" t="str">
        <f>_xlfn.XLOOKUP(M9,$H$2:$H$26,$B$2:$B$26)</f>
        <v>LB</v>
      </c>
      <c r="N12" s="11"/>
      <c r="R12" s="12"/>
      <c r="S12" s="13"/>
    </row>
    <row r="13" spans="1:19" ht="14.4" x14ac:dyDescent="0.25">
      <c r="A13" s="4">
        <v>1866</v>
      </c>
      <c r="B13" s="287" t="s">
        <v>21</v>
      </c>
      <c r="C13" s="4" t="s">
        <v>9</v>
      </c>
      <c r="D13" s="5">
        <v>40661</v>
      </c>
      <c r="E13" s="14">
        <v>76982</v>
      </c>
      <c r="F13" s="4">
        <v>13</v>
      </c>
      <c r="G13" s="17">
        <v>3.8999999999999998E-3</v>
      </c>
      <c r="H13" s="282">
        <v>2617985.4305046364</v>
      </c>
      <c r="I13" s="8"/>
      <c r="J13" s="8"/>
      <c r="L13" s="10"/>
      <c r="N13" s="11"/>
      <c r="R13" s="12"/>
      <c r="S13" s="13"/>
    </row>
    <row r="14" spans="1:19" ht="14.4" x14ac:dyDescent="0.25">
      <c r="A14" s="4">
        <v>1867</v>
      </c>
      <c r="B14" s="287" t="s">
        <v>22</v>
      </c>
      <c r="C14" s="4" t="s">
        <v>19</v>
      </c>
      <c r="D14" s="5">
        <v>40434</v>
      </c>
      <c r="E14" s="6">
        <v>184883</v>
      </c>
      <c r="F14" s="4">
        <v>10</v>
      </c>
      <c r="G14" s="280">
        <v>6.0000000000000001E-3</v>
      </c>
      <c r="H14" s="282">
        <v>2226133.6383189736</v>
      </c>
      <c r="I14" s="8"/>
      <c r="J14" s="8"/>
      <c r="L14" s="10"/>
      <c r="N14" s="11"/>
    </row>
    <row r="15" spans="1:19" ht="14.4" x14ac:dyDescent="0.25">
      <c r="A15" s="4">
        <v>1868</v>
      </c>
      <c r="B15" s="287" t="s">
        <v>23</v>
      </c>
      <c r="C15" s="4" t="s">
        <v>19</v>
      </c>
      <c r="D15" s="5">
        <v>41924</v>
      </c>
      <c r="E15" s="6">
        <v>8780</v>
      </c>
      <c r="F15" s="4">
        <v>10</v>
      </c>
      <c r="G15" s="280">
        <v>8.9999999999999993E-3</v>
      </c>
      <c r="H15" s="282">
        <v>122381.75185310727</v>
      </c>
      <c r="I15" s="8"/>
      <c r="J15" s="8"/>
      <c r="L15" s="10"/>
      <c r="N15" s="11"/>
    </row>
    <row r="16" spans="1:19" ht="14.4" x14ac:dyDescent="0.25">
      <c r="A16" s="4">
        <v>1869</v>
      </c>
      <c r="B16" s="287" t="s">
        <v>24</v>
      </c>
      <c r="C16" s="4" t="s">
        <v>9</v>
      </c>
      <c r="D16" s="5">
        <v>41231</v>
      </c>
      <c r="E16" s="6">
        <v>46900</v>
      </c>
      <c r="F16" s="4">
        <v>14</v>
      </c>
      <c r="G16" s="280">
        <v>1.1000000000000001E-3</v>
      </c>
      <c r="H16" s="282">
        <v>80582.931834117058</v>
      </c>
      <c r="I16" s="8"/>
      <c r="J16" s="8"/>
      <c r="L16" s="10"/>
      <c r="M16" s="10" t="s">
        <v>552</v>
      </c>
      <c r="N16" s="11"/>
    </row>
    <row r="17" spans="1:14" ht="14.4" x14ac:dyDescent="0.25">
      <c r="A17" s="4">
        <v>1870</v>
      </c>
      <c r="B17" s="287" t="s">
        <v>25</v>
      </c>
      <c r="C17" s="4" t="s">
        <v>9</v>
      </c>
      <c r="D17" s="5">
        <v>41419</v>
      </c>
      <c r="E17" s="6">
        <v>162174</v>
      </c>
      <c r="F17" s="4">
        <v>14</v>
      </c>
      <c r="G17" s="280">
        <v>8.0000000000000004E-4</v>
      </c>
      <c r="H17" s="282">
        <v>1078268.712803452</v>
      </c>
      <c r="I17" s="8"/>
      <c r="J17" s="8"/>
      <c r="M17" s="10" t="s">
        <v>553</v>
      </c>
      <c r="N17" s="11"/>
    </row>
    <row r="18" spans="1:14" ht="14.4" x14ac:dyDescent="0.25">
      <c r="A18" s="4">
        <v>1871</v>
      </c>
      <c r="B18" s="287" t="s">
        <v>20</v>
      </c>
      <c r="C18" s="4" t="s">
        <v>9</v>
      </c>
      <c r="D18" s="5">
        <v>41617</v>
      </c>
      <c r="E18" s="6">
        <v>10321</v>
      </c>
      <c r="F18" s="4">
        <v>14</v>
      </c>
      <c r="G18" s="280">
        <v>1.1000000000000001E-3</v>
      </c>
      <c r="H18" s="282">
        <v>372444.86881914415</v>
      </c>
      <c r="I18" s="8"/>
      <c r="J18" s="8"/>
      <c r="N18" s="11"/>
    </row>
    <row r="19" spans="1:14" ht="14.4" x14ac:dyDescent="0.25">
      <c r="A19" s="4">
        <v>1872</v>
      </c>
      <c r="B19" s="287" t="s">
        <v>26</v>
      </c>
      <c r="C19" s="4" t="s">
        <v>9</v>
      </c>
      <c r="D19" s="5">
        <v>43638</v>
      </c>
      <c r="E19" s="6">
        <v>56091</v>
      </c>
      <c r="F19" s="4">
        <v>15</v>
      </c>
      <c r="G19" s="280">
        <v>1E-3</v>
      </c>
      <c r="H19" s="282">
        <v>1453028.3037917621</v>
      </c>
      <c r="I19" s="8"/>
      <c r="J19" s="8"/>
      <c r="L19" s="10"/>
      <c r="N19" s="11"/>
    </row>
    <row r="20" spans="1:14" ht="14.4" x14ac:dyDescent="0.25">
      <c r="A20" s="4">
        <v>1873</v>
      </c>
      <c r="B20" s="287" t="s">
        <v>27</v>
      </c>
      <c r="C20" s="4" t="s">
        <v>11</v>
      </c>
      <c r="D20" s="5">
        <v>43291</v>
      </c>
      <c r="E20" s="6">
        <v>12866</v>
      </c>
      <c r="F20" s="4">
        <v>10</v>
      </c>
      <c r="G20" s="280">
        <v>8.0000000000000002E-3</v>
      </c>
      <c r="H20" s="282">
        <v>133822.73527755728</v>
      </c>
      <c r="I20" s="8"/>
      <c r="J20" s="8"/>
      <c r="L20" s="10"/>
      <c r="N20" s="11"/>
    </row>
    <row r="21" spans="1:14" ht="14.4" x14ac:dyDescent="0.25">
      <c r="A21" s="4">
        <v>1874</v>
      </c>
      <c r="B21" s="287" t="s">
        <v>28</v>
      </c>
      <c r="C21" s="4" t="s">
        <v>11</v>
      </c>
      <c r="D21" s="5">
        <v>43282</v>
      </c>
      <c r="E21" s="6">
        <v>71270</v>
      </c>
      <c r="F21" s="4">
        <v>13</v>
      </c>
      <c r="G21" s="280">
        <v>3.8999999999999998E-3</v>
      </c>
      <c r="H21" s="282">
        <v>142479.52031448073</v>
      </c>
      <c r="I21" s="8"/>
      <c r="J21" s="8"/>
      <c r="L21" s="10"/>
      <c r="N21" s="11"/>
    </row>
    <row r="22" spans="1:14" ht="14.4" x14ac:dyDescent="0.25">
      <c r="A22" s="4">
        <v>1875</v>
      </c>
      <c r="B22" s="287" t="s">
        <v>29</v>
      </c>
      <c r="C22" s="4" t="s">
        <v>11</v>
      </c>
      <c r="D22" s="5">
        <v>43497</v>
      </c>
      <c r="E22" s="6">
        <v>10129</v>
      </c>
      <c r="F22" s="4">
        <v>14</v>
      </c>
      <c r="G22" s="280">
        <v>1.1000000000000001E-3</v>
      </c>
      <c r="H22" s="282">
        <v>22812.44860458418</v>
      </c>
      <c r="I22" s="8"/>
      <c r="J22" s="8"/>
      <c r="L22" s="10"/>
      <c r="N22" s="11"/>
    </row>
    <row r="23" spans="1:14" ht="14.4" x14ac:dyDescent="0.25">
      <c r="A23" s="4">
        <v>1876</v>
      </c>
      <c r="B23" s="287" t="s">
        <v>30</v>
      </c>
      <c r="C23" s="4" t="s">
        <v>19</v>
      </c>
      <c r="D23" s="5">
        <v>42752</v>
      </c>
      <c r="E23" s="6">
        <v>143689</v>
      </c>
      <c r="F23" s="4">
        <v>13</v>
      </c>
      <c r="G23" s="280">
        <v>2.8999999999999998E-3</v>
      </c>
      <c r="H23" s="282">
        <v>1900016.8003544933</v>
      </c>
      <c r="I23" s="8"/>
      <c r="J23" s="8"/>
      <c r="L23" s="10"/>
      <c r="N23" s="11"/>
    </row>
    <row r="24" spans="1:14" ht="14.4" x14ac:dyDescent="0.25">
      <c r="A24" s="4">
        <v>1877</v>
      </c>
      <c r="B24" s="287" t="s">
        <v>31</v>
      </c>
      <c r="C24" s="4" t="s">
        <v>19</v>
      </c>
      <c r="D24" s="5">
        <v>43140</v>
      </c>
      <c r="E24" s="6">
        <v>25719</v>
      </c>
      <c r="F24" s="4">
        <v>12</v>
      </c>
      <c r="G24" s="280">
        <v>5.7999999999999996E-3</v>
      </c>
      <c r="H24" s="282">
        <v>186489.11906743521</v>
      </c>
      <c r="I24" s="8"/>
      <c r="J24" s="8"/>
      <c r="L24" s="10"/>
      <c r="N24" s="11"/>
    </row>
    <row r="25" spans="1:14" ht="14.4" x14ac:dyDescent="0.25">
      <c r="A25" s="4">
        <v>1878</v>
      </c>
      <c r="B25" s="287" t="s">
        <v>32</v>
      </c>
      <c r="C25" s="4" t="s">
        <v>9</v>
      </c>
      <c r="D25" s="5">
        <v>42629</v>
      </c>
      <c r="E25" s="6">
        <v>215746</v>
      </c>
      <c r="F25" s="4">
        <v>14</v>
      </c>
      <c r="G25" s="280">
        <v>8.0000000000000004E-4</v>
      </c>
      <c r="H25" s="282">
        <v>1094342.8807251898</v>
      </c>
      <c r="I25" s="8"/>
      <c r="J25" s="8"/>
      <c r="L25" s="10"/>
      <c r="N25" s="11"/>
    </row>
    <row r="26" spans="1:14" ht="15" thickBot="1" x14ac:dyDescent="0.3">
      <c r="A26" s="4">
        <v>1879</v>
      </c>
      <c r="B26" s="287" t="s">
        <v>33</v>
      </c>
      <c r="C26" s="4" t="s">
        <v>19</v>
      </c>
      <c r="D26" s="5">
        <v>40875</v>
      </c>
      <c r="E26" s="6">
        <v>131191</v>
      </c>
      <c r="F26" s="4">
        <v>10</v>
      </c>
      <c r="G26" s="280">
        <v>6.0000000000000001E-3</v>
      </c>
      <c r="H26" s="285">
        <v>203520.29998243746</v>
      </c>
      <c r="I26" s="8"/>
      <c r="J26" s="8"/>
      <c r="L26" s="10"/>
      <c r="N26" s="11"/>
    </row>
    <row r="31" spans="1:14" x14ac:dyDescent="0.25">
      <c r="B31" s="18"/>
      <c r="C31" s="18"/>
      <c r="L31" s="19"/>
    </row>
    <row r="32" spans="1:14" ht="14.4" x14ac:dyDescent="0.25">
      <c r="L32" s="11"/>
      <c r="M32" s="11"/>
    </row>
    <row r="33" spans="2:13" ht="14.4" x14ac:dyDescent="0.25">
      <c r="M33" s="11"/>
    </row>
    <row r="35" spans="2:13" x14ac:dyDescent="0.25">
      <c r="H35" s="20"/>
    </row>
    <row r="41" spans="2:13" x14ac:dyDescent="0.25">
      <c r="B41" s="21"/>
    </row>
    <row r="46" spans="2:13" x14ac:dyDescent="0.25">
      <c r="M46" s="2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6E0A-369B-45DF-9ACF-5ED7B8EA26C7}">
  <sheetPr>
    <tabColor rgb="FF92D050"/>
  </sheetPr>
  <dimension ref="A1:O60"/>
  <sheetViews>
    <sheetView rightToLeft="1" zoomScale="85" zoomScaleNormal="85" workbookViewId="0">
      <selection activeCell="C31" sqref="C31"/>
    </sheetView>
  </sheetViews>
  <sheetFormatPr defaultColWidth="8.69921875" defaultRowHeight="15.6" x14ac:dyDescent="0.25"/>
  <cols>
    <col min="1" max="1" width="19" style="45" customWidth="1"/>
    <col min="2" max="2" width="28.296875" style="45" customWidth="1"/>
    <col min="3" max="3" width="23.3984375" style="28" customWidth="1"/>
    <col min="4" max="4" width="29.09765625" style="28" customWidth="1"/>
    <col min="5" max="5" width="19.8984375" style="60" customWidth="1"/>
    <col min="6" max="6" width="21.3984375" style="28" customWidth="1"/>
    <col min="7" max="7" width="19.19921875" style="28" customWidth="1"/>
    <col min="8" max="8" width="19.09765625" style="28" customWidth="1"/>
    <col min="9" max="9" width="21.5" style="28" customWidth="1"/>
    <col min="10" max="10" width="31.3984375" style="28" customWidth="1"/>
    <col min="11" max="12" width="8.69921875" style="28"/>
    <col min="13" max="13" width="11.8984375" style="28" bestFit="1" customWidth="1"/>
    <col min="14" max="14" width="13.59765625" style="28" customWidth="1"/>
    <col min="15" max="15" width="12.09765625" style="28" customWidth="1"/>
    <col min="16" max="16384" width="8.69921875" style="28"/>
  </cols>
  <sheetData>
    <row r="1" spans="1:15" ht="48" customHeight="1" thickBot="1" x14ac:dyDescent="0.3">
      <c r="A1" s="53" t="s">
        <v>37</v>
      </c>
      <c r="B1" s="54" t="s">
        <v>36</v>
      </c>
      <c r="C1" s="421" t="s">
        <v>576</v>
      </c>
      <c r="D1" s="393" t="str">
        <f>I5</f>
        <v>שכר בסיס</v>
      </c>
      <c r="E1" s="394" t="str">
        <f>J5</f>
        <v>תוספת ותק לשנה, לפי תפקיד</v>
      </c>
      <c r="F1" s="26" t="s">
        <v>554</v>
      </c>
      <c r="G1" s="27" t="s">
        <v>555</v>
      </c>
      <c r="H1" s="27"/>
      <c r="I1" s="29" t="s">
        <v>39</v>
      </c>
      <c r="J1" s="27"/>
      <c r="L1" s="425"/>
      <c r="M1" s="425"/>
      <c r="N1" s="30"/>
    </row>
    <row r="2" spans="1:15" x14ac:dyDescent="0.25">
      <c r="A2" s="35" t="s">
        <v>40</v>
      </c>
      <c r="B2" s="55">
        <v>44201</v>
      </c>
      <c r="C2" s="37">
        <f ca="1">D2+G2</f>
        <v>24500</v>
      </c>
      <c r="D2" s="38">
        <f t="shared" ref="D2:D28" si="0">_xlfn.XLOOKUP(A2,$H$6:$H$12,$I$6:$I$12)</f>
        <v>22000</v>
      </c>
      <c r="E2" s="56">
        <f t="shared" ref="E2:E28" si="1">_xlfn.XLOOKUP(A2,$H$6:$H$12,$J$6:$J$12)</f>
        <v>500</v>
      </c>
      <c r="F2" s="28">
        <f t="shared" ref="F2:F28" ca="1" si="2">YEAR(TODAY())-YEAR(B2)</f>
        <v>5</v>
      </c>
      <c r="G2" s="28">
        <f ca="1">F2*E2</f>
        <v>2500</v>
      </c>
      <c r="I2" s="31"/>
      <c r="J2" s="39"/>
    </row>
    <row r="3" spans="1:15" ht="21" x14ac:dyDescent="0.25">
      <c r="A3" s="35" t="s">
        <v>41</v>
      </c>
      <c r="B3" s="36">
        <v>44207</v>
      </c>
      <c r="C3" s="37">
        <f t="shared" ref="C3:C28" ca="1" si="3">D3+G3</f>
        <v>26500</v>
      </c>
      <c r="D3" s="38">
        <f t="shared" si="0"/>
        <v>25000</v>
      </c>
      <c r="E3" s="56">
        <f t="shared" si="1"/>
        <v>300</v>
      </c>
      <c r="F3" s="28">
        <f t="shared" ca="1" si="2"/>
        <v>5</v>
      </c>
      <c r="G3" s="28">
        <f t="shared" ref="G3:G28" ca="1" si="4">F3*E3</f>
        <v>1500</v>
      </c>
      <c r="H3" s="427" t="s">
        <v>48</v>
      </c>
      <c r="I3" s="427"/>
      <c r="J3" s="427"/>
    </row>
    <row r="4" spans="1:15" ht="23.4" x14ac:dyDescent="0.25">
      <c r="A4" s="35" t="s">
        <v>42</v>
      </c>
      <c r="B4" s="36">
        <v>43113</v>
      </c>
      <c r="C4" s="37">
        <f t="shared" ca="1" si="3"/>
        <v>19000</v>
      </c>
      <c r="D4" s="38">
        <f t="shared" si="0"/>
        <v>13000</v>
      </c>
      <c r="E4" s="56">
        <f t="shared" si="1"/>
        <v>750</v>
      </c>
      <c r="F4" s="28">
        <f t="shared" ca="1" si="2"/>
        <v>8</v>
      </c>
      <c r="G4" s="28">
        <f t="shared" ca="1" si="4"/>
        <v>6000</v>
      </c>
      <c r="H4" s="426" t="s">
        <v>49</v>
      </c>
      <c r="I4" s="426"/>
      <c r="J4" s="426"/>
    </row>
    <row r="5" spans="1:15" ht="43.2" customHeight="1" x14ac:dyDescent="0.25">
      <c r="A5" s="35" t="s">
        <v>43</v>
      </c>
      <c r="B5" s="36">
        <v>43125</v>
      </c>
      <c r="C5" s="37">
        <f t="shared" ca="1" si="3"/>
        <v>14500</v>
      </c>
      <c r="D5" s="38">
        <f t="shared" si="0"/>
        <v>12500</v>
      </c>
      <c r="E5" s="56">
        <f t="shared" si="1"/>
        <v>250</v>
      </c>
      <c r="F5" s="28">
        <f t="shared" ca="1" si="2"/>
        <v>8</v>
      </c>
      <c r="G5" s="28">
        <f t="shared" ca="1" si="4"/>
        <v>2000</v>
      </c>
      <c r="H5" s="51" t="s">
        <v>37</v>
      </c>
      <c r="I5" s="52" t="s">
        <v>47</v>
      </c>
      <c r="J5" s="395" t="s">
        <v>50</v>
      </c>
    </row>
    <row r="6" spans="1:15" ht="21" x14ac:dyDescent="0.25">
      <c r="A6" s="35" t="s">
        <v>44</v>
      </c>
      <c r="B6" s="36">
        <v>43857</v>
      </c>
      <c r="C6" s="37">
        <f t="shared" ca="1" si="3"/>
        <v>13300</v>
      </c>
      <c r="D6" s="38">
        <f t="shared" si="0"/>
        <v>10000</v>
      </c>
      <c r="E6" s="56">
        <f t="shared" si="1"/>
        <v>550</v>
      </c>
      <c r="F6" s="28">
        <f t="shared" ca="1" si="2"/>
        <v>6</v>
      </c>
      <c r="G6" s="28">
        <f t="shared" ca="1" si="4"/>
        <v>3300</v>
      </c>
      <c r="H6" s="57" t="s">
        <v>40</v>
      </c>
      <c r="I6" s="58">
        <v>22000</v>
      </c>
      <c r="J6" s="59">
        <v>500</v>
      </c>
    </row>
    <row r="7" spans="1:15" ht="21" x14ac:dyDescent="0.25">
      <c r="A7" s="35" t="s">
        <v>45</v>
      </c>
      <c r="B7" s="36">
        <v>43865</v>
      </c>
      <c r="C7" s="37">
        <f t="shared" ca="1" si="3"/>
        <v>17400</v>
      </c>
      <c r="D7" s="38">
        <f t="shared" si="0"/>
        <v>15000</v>
      </c>
      <c r="E7" s="56">
        <f t="shared" si="1"/>
        <v>400</v>
      </c>
      <c r="F7" s="28">
        <f t="shared" ca="1" si="2"/>
        <v>6</v>
      </c>
      <c r="G7" s="28">
        <f t="shared" ca="1" si="4"/>
        <v>2400</v>
      </c>
      <c r="H7" s="57" t="s">
        <v>41</v>
      </c>
      <c r="I7" s="58">
        <v>25000</v>
      </c>
      <c r="J7" s="59">
        <v>300</v>
      </c>
    </row>
    <row r="8" spans="1:15" ht="21" x14ac:dyDescent="0.25">
      <c r="A8" s="35" t="s">
        <v>46</v>
      </c>
      <c r="B8" s="36">
        <v>43509</v>
      </c>
      <c r="C8" s="37">
        <f t="shared" ca="1" si="3"/>
        <v>13050</v>
      </c>
      <c r="D8" s="38">
        <f t="shared" si="0"/>
        <v>12000</v>
      </c>
      <c r="E8" s="56">
        <f t="shared" si="1"/>
        <v>150</v>
      </c>
      <c r="F8" s="28">
        <f t="shared" ca="1" si="2"/>
        <v>7</v>
      </c>
      <c r="G8" s="28">
        <f t="shared" ca="1" si="4"/>
        <v>1050</v>
      </c>
      <c r="H8" s="57" t="s">
        <v>42</v>
      </c>
      <c r="I8" s="58">
        <v>13000</v>
      </c>
      <c r="J8" s="59">
        <v>750</v>
      </c>
    </row>
    <row r="9" spans="1:15" ht="21" x14ac:dyDescent="0.25">
      <c r="A9" s="35" t="s">
        <v>40</v>
      </c>
      <c r="B9" s="36">
        <v>43552</v>
      </c>
      <c r="C9" s="37">
        <f t="shared" ca="1" si="3"/>
        <v>25500</v>
      </c>
      <c r="D9" s="38">
        <f t="shared" si="0"/>
        <v>22000</v>
      </c>
      <c r="E9" s="56">
        <f t="shared" si="1"/>
        <v>500</v>
      </c>
      <c r="F9" s="28">
        <f t="shared" ca="1" si="2"/>
        <v>7</v>
      </c>
      <c r="G9" s="28">
        <f t="shared" ca="1" si="4"/>
        <v>3500</v>
      </c>
      <c r="H9" s="57" t="s">
        <v>43</v>
      </c>
      <c r="I9" s="58">
        <v>12500</v>
      </c>
      <c r="J9" s="59">
        <v>250</v>
      </c>
    </row>
    <row r="10" spans="1:15" ht="21" x14ac:dyDescent="0.25">
      <c r="A10" s="35" t="s">
        <v>41</v>
      </c>
      <c r="B10" s="36">
        <v>43558</v>
      </c>
      <c r="C10" s="37">
        <f t="shared" ca="1" si="3"/>
        <v>27100</v>
      </c>
      <c r="D10" s="38">
        <f t="shared" si="0"/>
        <v>25000</v>
      </c>
      <c r="E10" s="56">
        <f t="shared" si="1"/>
        <v>300</v>
      </c>
      <c r="F10" s="28">
        <f t="shared" ca="1" si="2"/>
        <v>7</v>
      </c>
      <c r="G10" s="28">
        <f t="shared" ca="1" si="4"/>
        <v>2100</v>
      </c>
      <c r="H10" s="57" t="s">
        <v>44</v>
      </c>
      <c r="I10" s="58">
        <v>10000</v>
      </c>
      <c r="J10" s="59">
        <v>550</v>
      </c>
      <c r="M10" s="40"/>
    </row>
    <row r="11" spans="1:15" ht="21" x14ac:dyDescent="0.25">
      <c r="A11" s="35" t="s">
        <v>42</v>
      </c>
      <c r="B11" s="36">
        <v>43207</v>
      </c>
      <c r="C11" s="37">
        <f t="shared" ca="1" si="3"/>
        <v>19000</v>
      </c>
      <c r="D11" s="38">
        <f t="shared" si="0"/>
        <v>13000</v>
      </c>
      <c r="E11" s="56">
        <f t="shared" si="1"/>
        <v>750</v>
      </c>
      <c r="F11" s="28">
        <f t="shared" ca="1" si="2"/>
        <v>8</v>
      </c>
      <c r="G11" s="28">
        <f t="shared" ca="1" si="4"/>
        <v>6000</v>
      </c>
      <c r="H11" s="57" t="s">
        <v>45</v>
      </c>
      <c r="I11" s="58">
        <v>15000</v>
      </c>
      <c r="J11" s="59">
        <v>400</v>
      </c>
    </row>
    <row r="12" spans="1:15" ht="21" x14ac:dyDescent="0.25">
      <c r="A12" s="35" t="s">
        <v>43</v>
      </c>
      <c r="B12" s="36">
        <v>43213</v>
      </c>
      <c r="C12" s="37">
        <f t="shared" ca="1" si="3"/>
        <v>14500</v>
      </c>
      <c r="D12" s="38">
        <f t="shared" si="0"/>
        <v>12500</v>
      </c>
      <c r="E12" s="56">
        <f t="shared" si="1"/>
        <v>250</v>
      </c>
      <c r="F12" s="28">
        <f t="shared" ca="1" si="2"/>
        <v>8</v>
      </c>
      <c r="G12" s="28">
        <f t="shared" ca="1" si="4"/>
        <v>2000</v>
      </c>
      <c r="H12" s="57" t="s">
        <v>46</v>
      </c>
      <c r="I12" s="58">
        <v>12000</v>
      </c>
      <c r="J12" s="59">
        <v>150</v>
      </c>
    </row>
    <row r="13" spans="1:15" x14ac:dyDescent="0.25">
      <c r="A13" s="35" t="s">
        <v>44</v>
      </c>
      <c r="B13" s="36">
        <v>43216</v>
      </c>
      <c r="C13" s="37">
        <f t="shared" ca="1" si="3"/>
        <v>14400</v>
      </c>
      <c r="D13" s="38">
        <f t="shared" si="0"/>
        <v>10000</v>
      </c>
      <c r="E13" s="56">
        <f t="shared" si="1"/>
        <v>550</v>
      </c>
      <c r="F13" s="28">
        <f t="shared" ca="1" si="2"/>
        <v>8</v>
      </c>
      <c r="G13" s="28">
        <f t="shared" ca="1" si="4"/>
        <v>4400</v>
      </c>
      <c r="I13" s="31"/>
      <c r="J13" s="39"/>
    </row>
    <row r="14" spans="1:15" x14ac:dyDescent="0.25">
      <c r="A14" s="35" t="s">
        <v>45</v>
      </c>
      <c r="B14" s="36">
        <v>43221</v>
      </c>
      <c r="C14" s="37">
        <f t="shared" ca="1" si="3"/>
        <v>18200</v>
      </c>
      <c r="D14" s="38">
        <f t="shared" si="0"/>
        <v>15000</v>
      </c>
      <c r="E14" s="56">
        <f t="shared" si="1"/>
        <v>400</v>
      </c>
      <c r="F14" s="28">
        <f t="shared" ca="1" si="2"/>
        <v>8</v>
      </c>
      <c r="G14" s="28">
        <f t="shared" ca="1" si="4"/>
        <v>3200</v>
      </c>
      <c r="I14" s="31"/>
      <c r="J14" s="39"/>
      <c r="N14" s="27"/>
      <c r="O14" s="27"/>
    </row>
    <row r="15" spans="1:15" x14ac:dyDescent="0.25">
      <c r="A15" s="35" t="s">
        <v>46</v>
      </c>
      <c r="B15" s="36">
        <v>43975</v>
      </c>
      <c r="C15" s="37">
        <f t="shared" ca="1" si="3"/>
        <v>12900</v>
      </c>
      <c r="D15" s="38">
        <f t="shared" si="0"/>
        <v>12000</v>
      </c>
      <c r="E15" s="56">
        <f t="shared" si="1"/>
        <v>150</v>
      </c>
      <c r="F15" s="28">
        <f t="shared" ca="1" si="2"/>
        <v>6</v>
      </c>
      <c r="G15" s="28">
        <f t="shared" ca="1" si="4"/>
        <v>900</v>
      </c>
    </row>
    <row r="16" spans="1:15" x14ac:dyDescent="0.25">
      <c r="A16" s="35" t="s">
        <v>40</v>
      </c>
      <c r="B16" s="36">
        <v>43990</v>
      </c>
      <c r="C16" s="37">
        <f t="shared" ca="1" si="3"/>
        <v>25000</v>
      </c>
      <c r="D16" s="38">
        <f t="shared" si="0"/>
        <v>22000</v>
      </c>
      <c r="E16" s="56">
        <f t="shared" si="1"/>
        <v>500</v>
      </c>
      <c r="F16" s="28">
        <f t="shared" ca="1" si="2"/>
        <v>6</v>
      </c>
      <c r="G16" s="28">
        <f t="shared" ca="1" si="4"/>
        <v>3000</v>
      </c>
    </row>
    <row r="17" spans="1:13" x14ac:dyDescent="0.25">
      <c r="A17" s="35" t="s">
        <v>41</v>
      </c>
      <c r="B17" s="36">
        <v>43997</v>
      </c>
      <c r="C17" s="37">
        <f t="shared" ca="1" si="3"/>
        <v>26800</v>
      </c>
      <c r="D17" s="38">
        <f t="shared" si="0"/>
        <v>25000</v>
      </c>
      <c r="E17" s="56">
        <f t="shared" si="1"/>
        <v>300</v>
      </c>
      <c r="F17" s="28">
        <f t="shared" ca="1" si="2"/>
        <v>6</v>
      </c>
      <c r="G17" s="28">
        <f t="shared" ca="1" si="4"/>
        <v>1800</v>
      </c>
    </row>
    <row r="18" spans="1:13" x14ac:dyDescent="0.25">
      <c r="A18" s="35" t="s">
        <v>42</v>
      </c>
      <c r="B18" s="36">
        <v>43705</v>
      </c>
      <c r="C18" s="37">
        <f t="shared" ca="1" si="3"/>
        <v>18250</v>
      </c>
      <c r="D18" s="38">
        <f t="shared" si="0"/>
        <v>13000</v>
      </c>
      <c r="E18" s="56">
        <f t="shared" si="1"/>
        <v>750</v>
      </c>
      <c r="F18" s="28">
        <f t="shared" ca="1" si="2"/>
        <v>7</v>
      </c>
      <c r="G18" s="28">
        <f t="shared" ca="1" si="4"/>
        <v>5250</v>
      </c>
    </row>
    <row r="19" spans="1:13" x14ac:dyDescent="0.25">
      <c r="A19" s="35" t="s">
        <v>43</v>
      </c>
      <c r="B19" s="36">
        <v>44438</v>
      </c>
      <c r="C19" s="37">
        <f t="shared" ca="1" si="3"/>
        <v>13750</v>
      </c>
      <c r="D19" s="38">
        <f t="shared" si="0"/>
        <v>12500</v>
      </c>
      <c r="E19" s="56">
        <f t="shared" si="1"/>
        <v>250</v>
      </c>
      <c r="F19" s="28">
        <f t="shared" ca="1" si="2"/>
        <v>5</v>
      </c>
      <c r="G19" s="28">
        <f t="shared" ca="1" si="4"/>
        <v>1250</v>
      </c>
    </row>
    <row r="20" spans="1:13" x14ac:dyDescent="0.25">
      <c r="A20" s="35" t="s">
        <v>45</v>
      </c>
      <c r="B20" s="36">
        <v>43710</v>
      </c>
      <c r="C20" s="37">
        <f t="shared" ca="1" si="3"/>
        <v>17800</v>
      </c>
      <c r="D20" s="38">
        <f t="shared" si="0"/>
        <v>15000</v>
      </c>
      <c r="E20" s="56">
        <f t="shared" si="1"/>
        <v>400</v>
      </c>
      <c r="F20" s="28">
        <f t="shared" ca="1" si="2"/>
        <v>7</v>
      </c>
      <c r="G20" s="28">
        <f t="shared" ca="1" si="4"/>
        <v>2800</v>
      </c>
    </row>
    <row r="21" spans="1:13" x14ac:dyDescent="0.25">
      <c r="A21" s="35" t="s">
        <v>46</v>
      </c>
      <c r="B21" s="36">
        <v>43722</v>
      </c>
      <c r="C21" s="37">
        <f t="shared" ca="1" si="3"/>
        <v>13050</v>
      </c>
      <c r="D21" s="38">
        <f t="shared" si="0"/>
        <v>12000</v>
      </c>
      <c r="E21" s="56">
        <f t="shared" si="1"/>
        <v>150</v>
      </c>
      <c r="F21" s="28">
        <f t="shared" ca="1" si="2"/>
        <v>7</v>
      </c>
      <c r="G21" s="28">
        <f t="shared" ca="1" si="4"/>
        <v>1050</v>
      </c>
    </row>
    <row r="22" spans="1:13" x14ac:dyDescent="0.25">
      <c r="A22" s="35" t="s">
        <v>40</v>
      </c>
      <c r="B22" s="36">
        <v>43365</v>
      </c>
      <c r="C22" s="37">
        <f t="shared" ca="1" si="3"/>
        <v>26000</v>
      </c>
      <c r="D22" s="38">
        <f t="shared" si="0"/>
        <v>22000</v>
      </c>
      <c r="E22" s="56">
        <f t="shared" si="1"/>
        <v>500</v>
      </c>
      <c r="F22" s="28">
        <f t="shared" ca="1" si="2"/>
        <v>8</v>
      </c>
      <c r="G22" s="28">
        <f t="shared" ca="1" si="4"/>
        <v>4000</v>
      </c>
    </row>
    <row r="23" spans="1:13" x14ac:dyDescent="0.25">
      <c r="A23" s="35" t="s">
        <v>41</v>
      </c>
      <c r="B23" s="36">
        <v>43389</v>
      </c>
      <c r="C23" s="37">
        <f t="shared" ca="1" si="3"/>
        <v>27400</v>
      </c>
      <c r="D23" s="38">
        <f t="shared" si="0"/>
        <v>25000</v>
      </c>
      <c r="E23" s="56">
        <f t="shared" si="1"/>
        <v>300</v>
      </c>
      <c r="F23" s="28">
        <f t="shared" ca="1" si="2"/>
        <v>8</v>
      </c>
      <c r="G23" s="28">
        <f t="shared" ca="1" si="4"/>
        <v>2400</v>
      </c>
    </row>
    <row r="24" spans="1:13" x14ac:dyDescent="0.25">
      <c r="A24" s="35" t="s">
        <v>42</v>
      </c>
      <c r="B24" s="36">
        <v>43405</v>
      </c>
      <c r="C24" s="37">
        <f t="shared" ca="1" si="3"/>
        <v>19000</v>
      </c>
      <c r="D24" s="38">
        <f t="shared" si="0"/>
        <v>13000</v>
      </c>
      <c r="E24" s="56">
        <f t="shared" si="1"/>
        <v>750</v>
      </c>
      <c r="F24" s="28">
        <f t="shared" ca="1" si="2"/>
        <v>8</v>
      </c>
      <c r="G24" s="28">
        <f t="shared" ca="1" si="4"/>
        <v>6000</v>
      </c>
      <c r="I24" s="31"/>
      <c r="J24" s="39"/>
      <c r="M24" s="41"/>
    </row>
    <row r="25" spans="1:13" x14ac:dyDescent="0.25">
      <c r="A25" s="35" t="s">
        <v>43</v>
      </c>
      <c r="B25" s="36">
        <v>43416</v>
      </c>
      <c r="C25" s="37">
        <f t="shared" ca="1" si="3"/>
        <v>14500</v>
      </c>
      <c r="D25" s="38">
        <f t="shared" si="0"/>
        <v>12500</v>
      </c>
      <c r="E25" s="56">
        <f t="shared" si="1"/>
        <v>250</v>
      </c>
      <c r="F25" s="28">
        <f t="shared" ca="1" si="2"/>
        <v>8</v>
      </c>
      <c r="G25" s="28">
        <f t="shared" ca="1" si="4"/>
        <v>2000</v>
      </c>
      <c r="I25" s="31"/>
      <c r="J25" s="39"/>
      <c r="M25" s="41"/>
    </row>
    <row r="26" spans="1:13" x14ac:dyDescent="0.25">
      <c r="A26" s="35" t="s">
        <v>44</v>
      </c>
      <c r="B26" s="36">
        <v>43423</v>
      </c>
      <c r="C26" s="37">
        <f t="shared" ca="1" si="3"/>
        <v>14400</v>
      </c>
      <c r="D26" s="38">
        <f t="shared" si="0"/>
        <v>10000</v>
      </c>
      <c r="E26" s="56">
        <f t="shared" si="1"/>
        <v>550</v>
      </c>
      <c r="F26" s="28">
        <f t="shared" ca="1" si="2"/>
        <v>8</v>
      </c>
      <c r="G26" s="28">
        <f t="shared" ca="1" si="4"/>
        <v>4400</v>
      </c>
      <c r="I26" s="31"/>
      <c r="J26" s="39"/>
    </row>
    <row r="27" spans="1:13" x14ac:dyDescent="0.25">
      <c r="A27" s="35" t="s">
        <v>45</v>
      </c>
      <c r="B27" s="36">
        <v>43426</v>
      </c>
      <c r="C27" s="37">
        <f t="shared" ca="1" si="3"/>
        <v>18200</v>
      </c>
      <c r="D27" s="38">
        <f t="shared" si="0"/>
        <v>15000</v>
      </c>
      <c r="E27" s="56">
        <f t="shared" si="1"/>
        <v>400</v>
      </c>
      <c r="F27" s="28">
        <f t="shared" ca="1" si="2"/>
        <v>8</v>
      </c>
      <c r="G27" s="28">
        <f t="shared" ca="1" si="4"/>
        <v>3200</v>
      </c>
      <c r="I27" s="31"/>
      <c r="J27" s="39"/>
    </row>
    <row r="28" spans="1:13" x14ac:dyDescent="0.25">
      <c r="A28" s="42" t="s">
        <v>46</v>
      </c>
      <c r="B28" s="43">
        <v>44525</v>
      </c>
      <c r="C28" s="37">
        <f t="shared" ca="1" si="3"/>
        <v>12750</v>
      </c>
      <c r="D28" s="38">
        <f t="shared" si="0"/>
        <v>12000</v>
      </c>
      <c r="E28" s="56">
        <f t="shared" si="1"/>
        <v>150</v>
      </c>
      <c r="F28" s="28">
        <f t="shared" ca="1" si="2"/>
        <v>5</v>
      </c>
      <c r="G28" s="28">
        <f t="shared" ca="1" si="4"/>
        <v>750</v>
      </c>
      <c r="I28" s="31"/>
      <c r="J28" s="39"/>
    </row>
    <row r="30" spans="1:13" x14ac:dyDescent="0.25">
      <c r="D30" s="30"/>
      <c r="F30" s="30"/>
      <c r="G30" s="30"/>
      <c r="L30" s="32"/>
      <c r="M30" s="33"/>
    </row>
    <row r="31" spans="1:13" x14ac:dyDescent="0.25">
      <c r="L31" s="41"/>
    </row>
    <row r="32" spans="1:13" ht="17.399999999999999" x14ac:dyDescent="0.25">
      <c r="A32" s="30"/>
      <c r="C32" s="30"/>
      <c r="D32" s="30"/>
      <c r="E32" s="61"/>
      <c r="F32" s="46"/>
      <c r="G32" s="46"/>
      <c r="L32" s="41"/>
    </row>
    <row r="33" spans="1:8" x14ac:dyDescent="0.25">
      <c r="C33" s="45"/>
      <c r="D33" s="45"/>
      <c r="E33" s="62"/>
      <c r="F33" s="45"/>
      <c r="G33" s="45"/>
      <c r="H33" s="45"/>
    </row>
    <row r="34" spans="1:8" x14ac:dyDescent="0.25">
      <c r="C34" s="45"/>
      <c r="D34" s="45"/>
      <c r="E34" s="62"/>
      <c r="F34" s="45"/>
      <c r="G34" s="45"/>
      <c r="H34" s="45"/>
    </row>
    <row r="35" spans="1:8" x14ac:dyDescent="0.25">
      <c r="C35" s="45"/>
      <c r="D35" s="45"/>
      <c r="E35" s="62"/>
      <c r="F35" s="45"/>
      <c r="G35" s="45"/>
      <c r="H35" s="45"/>
    </row>
    <row r="36" spans="1:8" x14ac:dyDescent="0.25">
      <c r="A36" s="33"/>
      <c r="B36" s="33"/>
      <c r="C36" s="27"/>
      <c r="D36" s="30"/>
      <c r="E36" s="61"/>
      <c r="H36" s="45"/>
    </row>
    <row r="37" spans="1:8" x14ac:dyDescent="0.25">
      <c r="A37" s="41"/>
      <c r="B37" s="40"/>
      <c r="C37" s="47"/>
      <c r="D37" s="48"/>
      <c r="E37" s="62"/>
      <c r="F37" s="45"/>
      <c r="G37" s="45"/>
      <c r="H37" s="45"/>
    </row>
    <row r="38" spans="1:8" x14ac:dyDescent="0.25">
      <c r="A38" s="41"/>
      <c r="B38" s="40"/>
      <c r="C38" s="47"/>
      <c r="D38" s="48"/>
      <c r="E38" s="62"/>
      <c r="F38" s="45"/>
      <c r="G38" s="45"/>
      <c r="H38" s="45"/>
    </row>
    <row r="39" spans="1:8" x14ac:dyDescent="0.25">
      <c r="A39" s="41"/>
      <c r="B39" s="40"/>
      <c r="C39" s="47"/>
      <c r="D39" s="48"/>
      <c r="E39" s="62"/>
      <c r="F39" s="45"/>
      <c r="G39" s="45"/>
      <c r="H39" s="45"/>
    </row>
    <row r="40" spans="1:8" x14ac:dyDescent="0.25">
      <c r="A40" s="41"/>
      <c r="B40" s="40"/>
      <c r="C40" s="47"/>
      <c r="D40" s="48"/>
      <c r="E40" s="62"/>
      <c r="F40" s="45"/>
      <c r="G40" s="45"/>
      <c r="H40" s="45"/>
    </row>
    <row r="41" spans="1:8" x14ac:dyDescent="0.25">
      <c r="A41" s="41"/>
      <c r="B41" s="40"/>
      <c r="C41" s="47"/>
      <c r="D41" s="48"/>
      <c r="E41" s="62"/>
      <c r="F41" s="45"/>
      <c r="G41" s="45"/>
      <c r="H41" s="45"/>
    </row>
    <row r="42" spans="1:8" x14ac:dyDescent="0.25">
      <c r="A42" s="41"/>
      <c r="B42" s="40"/>
      <c r="C42" s="47"/>
      <c r="D42" s="45"/>
      <c r="E42" s="62"/>
      <c r="F42" s="45"/>
      <c r="G42" s="45"/>
      <c r="H42" s="45"/>
    </row>
    <row r="43" spans="1:8" x14ac:dyDescent="0.25">
      <c r="A43" s="41"/>
      <c r="B43" s="40"/>
      <c r="C43" s="47"/>
      <c r="D43" s="45"/>
      <c r="E43" s="62"/>
      <c r="F43" s="45"/>
      <c r="G43" s="45"/>
      <c r="H43" s="45"/>
    </row>
    <row r="44" spans="1:8" x14ac:dyDescent="0.25">
      <c r="C44" s="45"/>
      <c r="D44" s="45"/>
      <c r="E44" s="62"/>
      <c r="F44" s="45"/>
      <c r="G44" s="45"/>
      <c r="H44" s="45"/>
    </row>
    <row r="45" spans="1:8" ht="17.399999999999999" x14ac:dyDescent="0.25">
      <c r="C45" s="49"/>
    </row>
    <row r="46" spans="1:8" x14ac:dyDescent="0.25">
      <c r="H46" s="50"/>
    </row>
    <row r="52" spans="1:1" x14ac:dyDescent="0.25">
      <c r="A52" s="63"/>
    </row>
    <row r="53" spans="1:1" x14ac:dyDescent="0.25">
      <c r="A53" s="34"/>
    </row>
    <row r="54" spans="1:1" x14ac:dyDescent="0.25">
      <c r="A54" s="64"/>
    </row>
    <row r="55" spans="1:1" x14ac:dyDescent="0.25">
      <c r="A55" s="64"/>
    </row>
    <row r="56" spans="1:1" x14ac:dyDescent="0.25">
      <c r="A56" s="64"/>
    </row>
    <row r="57" spans="1:1" x14ac:dyDescent="0.25">
      <c r="A57" s="64"/>
    </row>
    <row r="58" spans="1:1" x14ac:dyDescent="0.25">
      <c r="A58" s="64"/>
    </row>
    <row r="59" spans="1:1" x14ac:dyDescent="0.25">
      <c r="A59" s="64"/>
    </row>
    <row r="60" spans="1:1" x14ac:dyDescent="0.25">
      <c r="A60" s="64"/>
    </row>
  </sheetData>
  <mergeCells count="3">
    <mergeCell ref="L1:M1"/>
    <mergeCell ref="H4:J4"/>
    <mergeCell ref="H3:J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95F6A-9258-4187-911C-328AF8339F87}">
  <sheetPr>
    <tabColor theme="9" tint="0.39997558519241921"/>
  </sheetPr>
  <dimension ref="A1:S55"/>
  <sheetViews>
    <sheetView rightToLeft="1" zoomScale="85" zoomScaleNormal="85" workbookViewId="0">
      <selection activeCell="F29" sqref="F29"/>
    </sheetView>
  </sheetViews>
  <sheetFormatPr defaultColWidth="8.8984375" defaultRowHeight="13.8" x14ac:dyDescent="0.25"/>
  <cols>
    <col min="1" max="1" width="11" style="9" customWidth="1"/>
    <col min="2" max="2" width="14.69921875" style="9" customWidth="1"/>
    <col min="3" max="3" width="10.3984375" style="9" bestFit="1" customWidth="1"/>
    <col min="4" max="4" width="8.8984375" style="9"/>
    <col min="5" max="5" width="20.8984375" style="9" customWidth="1"/>
    <col min="6" max="6" width="14.8984375" style="9" bestFit="1" customWidth="1"/>
    <col min="7" max="7" width="14" style="68" customWidth="1"/>
    <col min="8" max="9" width="16.796875" style="68" customWidth="1"/>
    <col min="10" max="10" width="13.3984375" style="9" bestFit="1" customWidth="1"/>
    <col min="11" max="11" width="8.8984375" style="9"/>
    <col min="12" max="12" width="15.796875" style="9" customWidth="1"/>
    <col min="13" max="13" width="26.8984375" style="9" bestFit="1" customWidth="1"/>
    <col min="14" max="14" width="14.796875" style="9" customWidth="1"/>
    <col min="15" max="15" width="14.296875" style="9" customWidth="1"/>
    <col min="16" max="16" width="13.796875" style="9" customWidth="1"/>
    <col min="17" max="17" width="12.09765625" style="9" customWidth="1"/>
    <col min="18" max="18" width="16.09765625" style="9" customWidth="1"/>
    <col min="19" max="16384" width="8.8984375" style="9"/>
  </cols>
  <sheetData>
    <row r="1" spans="1:19" s="67" customFormat="1" ht="45.6" customHeight="1" thickBot="1" x14ac:dyDescent="0.3">
      <c r="A1" s="65" t="s">
        <v>53</v>
      </c>
      <c r="B1" s="65" t="s">
        <v>3</v>
      </c>
      <c r="C1" s="65" t="s">
        <v>4</v>
      </c>
      <c r="D1" s="65" t="s">
        <v>54</v>
      </c>
      <c r="E1" s="66" t="s">
        <v>7</v>
      </c>
      <c r="F1" s="294" t="s">
        <v>55</v>
      </c>
      <c r="G1" s="400" t="s">
        <v>556</v>
      </c>
      <c r="H1" s="400" t="s">
        <v>557</v>
      </c>
      <c r="I1" s="400" t="s">
        <v>558</v>
      </c>
    </row>
    <row r="2" spans="1:19" ht="14.4" x14ac:dyDescent="0.25">
      <c r="A2" s="396" t="s">
        <v>9</v>
      </c>
      <c r="B2" s="5">
        <v>44819</v>
      </c>
      <c r="C2" s="6">
        <v>2500</v>
      </c>
      <c r="D2" s="287">
        <v>10</v>
      </c>
      <c r="E2" s="7">
        <v>16761.877886011072</v>
      </c>
      <c r="F2" s="399" cm="1">
        <f t="array" ref="F2">_xlfn.XLOOKUP(A2,$M$13:$M$15,_xlfn.XLOOKUP(D2,$N$12:$R$12,$N$13:$R$15))</f>
        <v>0.13</v>
      </c>
      <c r="G2" s="68">
        <f>F2*E2</f>
        <v>2179.0441251814395</v>
      </c>
      <c r="H2" s="68">
        <f>E2-G2</f>
        <v>14582.833760829633</v>
      </c>
      <c r="I2" s="8">
        <f>H2*$M$21</f>
        <v>45206.784658571865</v>
      </c>
      <c r="J2" s="429" t="s">
        <v>59</v>
      </c>
      <c r="K2" s="430"/>
      <c r="L2" s="430"/>
      <c r="M2" s="430"/>
      <c r="N2" s="430"/>
      <c r="O2" s="430"/>
      <c r="P2" s="430"/>
      <c r="Q2" s="430"/>
      <c r="R2" s="430"/>
      <c r="S2" s="431"/>
    </row>
    <row r="3" spans="1:19" ht="15" thickBot="1" x14ac:dyDescent="0.3">
      <c r="A3" s="396" t="s">
        <v>11</v>
      </c>
      <c r="B3" s="5">
        <v>44632</v>
      </c>
      <c r="C3" s="6">
        <v>146726</v>
      </c>
      <c r="D3" s="287">
        <v>13</v>
      </c>
      <c r="E3" s="7">
        <v>214094.11260178176</v>
      </c>
      <c r="F3" s="399" cm="1">
        <f t="array" ref="F3">_xlfn.XLOOKUP(A3,$M$13:$M$15,_xlfn.XLOOKUP(D3,$N$12:$R$12,$N$13:$R$15))</f>
        <v>0.2</v>
      </c>
      <c r="G3" s="68">
        <f t="shared" ref="G3:G26" si="0">F3*E3</f>
        <v>42818.822520356356</v>
      </c>
      <c r="H3" s="68">
        <f t="shared" ref="H3:H26" si="1">E3-G3</f>
        <v>171275.2900814254</v>
      </c>
      <c r="I3" s="8">
        <f t="shared" ref="I3:I26" si="2">H3*$M$21</f>
        <v>530953.39925241878</v>
      </c>
      <c r="J3" s="432"/>
      <c r="K3" s="433"/>
      <c r="L3" s="433"/>
      <c r="M3" s="433"/>
      <c r="N3" s="433"/>
      <c r="O3" s="433"/>
      <c r="P3" s="433"/>
      <c r="Q3" s="433"/>
      <c r="R3" s="433"/>
      <c r="S3" s="434"/>
    </row>
    <row r="4" spans="1:19" ht="14.4" x14ac:dyDescent="0.25">
      <c r="A4" s="396" t="s">
        <v>9</v>
      </c>
      <c r="B4" s="5">
        <v>44833</v>
      </c>
      <c r="C4" s="6">
        <v>253094</v>
      </c>
      <c r="D4" s="287">
        <v>10</v>
      </c>
      <c r="E4" s="7">
        <v>307637.33883750002</v>
      </c>
      <c r="F4" s="399" cm="1">
        <f t="array" ref="F4">_xlfn.XLOOKUP(A4,$M$13:$M$15,_xlfn.XLOOKUP(D4,$N$12:$R$12,$N$13:$R$15))</f>
        <v>0.13</v>
      </c>
      <c r="G4" s="68">
        <f t="shared" si="0"/>
        <v>39992.854048875008</v>
      </c>
      <c r="H4" s="68">
        <f t="shared" si="1"/>
        <v>267644.48478862504</v>
      </c>
      <c r="I4" s="8">
        <f t="shared" si="2"/>
        <v>829697.90284473763</v>
      </c>
      <c r="L4" s="72"/>
    </row>
    <row r="5" spans="1:19" ht="14.4" x14ac:dyDescent="0.25">
      <c r="A5" s="396" t="s">
        <v>9</v>
      </c>
      <c r="B5" s="5">
        <v>44924</v>
      </c>
      <c r="C5" s="6">
        <v>70131</v>
      </c>
      <c r="D5" s="287">
        <v>14</v>
      </c>
      <c r="E5" s="7">
        <v>332458.09982047207</v>
      </c>
      <c r="F5" s="399" cm="1">
        <f t="array" ref="F5">_xlfn.XLOOKUP(A5,$M$13:$M$15,_xlfn.XLOOKUP(D5,$N$12:$R$12,$N$13:$R$15))</f>
        <v>0.11</v>
      </c>
      <c r="G5" s="68">
        <f t="shared" si="0"/>
        <v>36570.390980251927</v>
      </c>
      <c r="H5" s="68">
        <f t="shared" si="1"/>
        <v>295887.70884022012</v>
      </c>
      <c r="I5" s="8">
        <f t="shared" si="2"/>
        <v>917251.89740468236</v>
      </c>
      <c r="K5" s="67"/>
      <c r="L5" s="72"/>
    </row>
    <row r="6" spans="1:19" ht="14.4" x14ac:dyDescent="0.25">
      <c r="A6" s="396" t="s">
        <v>9</v>
      </c>
      <c r="B6" s="5">
        <v>44597</v>
      </c>
      <c r="C6" s="6">
        <v>63372</v>
      </c>
      <c r="D6" s="287">
        <v>15</v>
      </c>
      <c r="E6" s="7">
        <v>1229261.9753939065</v>
      </c>
      <c r="F6" s="399" cm="1">
        <f t="array" ref="F6">_xlfn.XLOOKUP(A6,$M$13:$M$15,_xlfn.XLOOKUP(D6,$N$12:$R$12,$N$13:$R$15))</f>
        <v>0.1</v>
      </c>
      <c r="G6" s="68">
        <f t="shared" si="0"/>
        <v>122926.19753939065</v>
      </c>
      <c r="H6" s="68">
        <f t="shared" si="1"/>
        <v>1106335.7778545157</v>
      </c>
      <c r="I6" s="8">
        <f t="shared" si="2"/>
        <v>3429640.911348999</v>
      </c>
      <c r="K6" s="67"/>
      <c r="L6" s="72"/>
    </row>
    <row r="7" spans="1:19" ht="14.4" x14ac:dyDescent="0.25">
      <c r="A7" s="396" t="s">
        <v>11</v>
      </c>
      <c r="B7" s="5">
        <v>44700</v>
      </c>
      <c r="C7" s="6">
        <v>72483</v>
      </c>
      <c r="D7" s="287">
        <v>15</v>
      </c>
      <c r="E7" s="7">
        <v>1877660.4186721272</v>
      </c>
      <c r="F7" s="399" cm="1">
        <f t="array" ref="F7">_xlfn.XLOOKUP(A7,$M$13:$M$15,_xlfn.XLOOKUP(D7,$N$12:$R$12,$N$13:$R$15))</f>
        <v>0.15</v>
      </c>
      <c r="G7" s="68">
        <f t="shared" si="0"/>
        <v>281649.06280081905</v>
      </c>
      <c r="H7" s="68">
        <f t="shared" si="1"/>
        <v>1596011.3558713081</v>
      </c>
      <c r="I7" s="8">
        <f t="shared" si="2"/>
        <v>4947635.2032010555</v>
      </c>
      <c r="K7" s="67"/>
      <c r="L7" s="72"/>
    </row>
    <row r="8" spans="1:19" ht="14.4" x14ac:dyDescent="0.25">
      <c r="A8" s="396" t="s">
        <v>11</v>
      </c>
      <c r="B8" s="5">
        <v>44753</v>
      </c>
      <c r="C8" s="6">
        <v>108877</v>
      </c>
      <c r="D8" s="287">
        <v>13</v>
      </c>
      <c r="E8" s="7">
        <v>986671.12314671697</v>
      </c>
      <c r="F8" s="399" cm="1">
        <f t="array" ref="F8">_xlfn.XLOOKUP(A8,$M$13:$M$15,_xlfn.XLOOKUP(D8,$N$12:$R$12,$N$13:$R$15))</f>
        <v>0.2</v>
      </c>
      <c r="G8" s="68">
        <f t="shared" si="0"/>
        <v>197334.2246293434</v>
      </c>
      <c r="H8" s="68">
        <f t="shared" si="1"/>
        <v>789336.8985173736</v>
      </c>
      <c r="I8" s="8">
        <f t="shared" si="2"/>
        <v>2446944.385403858</v>
      </c>
      <c r="K8" s="67"/>
      <c r="L8" s="72"/>
    </row>
    <row r="9" spans="1:19" ht="23.4" thickBot="1" x14ac:dyDescent="0.3">
      <c r="A9" s="396" t="s">
        <v>11</v>
      </c>
      <c r="B9" s="5">
        <v>44686</v>
      </c>
      <c r="C9" s="6">
        <v>96681</v>
      </c>
      <c r="D9" s="287">
        <v>10</v>
      </c>
      <c r="E9" s="7">
        <v>191421.76696540037</v>
      </c>
      <c r="F9" s="399" cm="1">
        <f t="array" ref="F9">_xlfn.XLOOKUP(A9,$M$13:$M$15,_xlfn.XLOOKUP(D9,$N$12:$R$12,$N$13:$R$15))</f>
        <v>0.12</v>
      </c>
      <c r="G9" s="68">
        <f t="shared" si="0"/>
        <v>22970.612035848044</v>
      </c>
      <c r="H9" s="68">
        <f t="shared" si="1"/>
        <v>168451.15492955231</v>
      </c>
      <c r="I9" s="8">
        <f t="shared" si="2"/>
        <v>522198.58028161217</v>
      </c>
      <c r="K9" s="67"/>
      <c r="L9" s="72"/>
      <c r="M9" s="428" t="s">
        <v>58</v>
      </c>
      <c r="N9" s="428"/>
      <c r="O9" s="428"/>
      <c r="P9" s="428"/>
      <c r="Q9" s="428"/>
      <c r="R9" s="428"/>
    </row>
    <row r="10" spans="1:19" ht="14.4" x14ac:dyDescent="0.25">
      <c r="A10" s="396" t="s">
        <v>11</v>
      </c>
      <c r="B10" s="5">
        <v>44861</v>
      </c>
      <c r="C10" s="6">
        <v>66590</v>
      </c>
      <c r="D10" s="287">
        <v>15</v>
      </c>
      <c r="E10" s="7">
        <v>377756.68354481296</v>
      </c>
      <c r="F10" s="399" cm="1">
        <f t="array" ref="F10">_xlfn.XLOOKUP(A10,$M$13:$M$15,_xlfn.XLOOKUP(D10,$N$12:$R$12,$N$13:$R$15))</f>
        <v>0.15</v>
      </c>
      <c r="G10" s="68">
        <f t="shared" si="0"/>
        <v>56663.502531721941</v>
      </c>
      <c r="H10" s="68">
        <f t="shared" si="1"/>
        <v>321093.181013091</v>
      </c>
      <c r="I10" s="8">
        <f t="shared" si="2"/>
        <v>995388.86114058213</v>
      </c>
      <c r="K10" s="67"/>
      <c r="L10" s="72"/>
    </row>
    <row r="11" spans="1:19" ht="15" thickBot="1" x14ac:dyDescent="0.3">
      <c r="A11" s="396" t="s">
        <v>19</v>
      </c>
      <c r="B11" s="5">
        <v>44707</v>
      </c>
      <c r="C11" s="6">
        <v>224708</v>
      </c>
      <c r="D11" s="287">
        <v>10</v>
      </c>
      <c r="E11" s="7">
        <v>3453180.5195543682</v>
      </c>
      <c r="F11" s="399" cm="1">
        <f t="array" ref="F11">_xlfn.XLOOKUP(A11,$M$13:$M$15,_xlfn.XLOOKUP(D11,$N$12:$R$12,$N$13:$R$15))</f>
        <v>0.14000000000000001</v>
      </c>
      <c r="G11" s="68">
        <f t="shared" si="0"/>
        <v>483445.27273761161</v>
      </c>
      <c r="H11" s="68">
        <f t="shared" si="1"/>
        <v>2969735.2468167567</v>
      </c>
      <c r="I11" s="8">
        <f t="shared" si="2"/>
        <v>9206179.2651319467</v>
      </c>
      <c r="K11" s="67"/>
      <c r="L11" s="72"/>
    </row>
    <row r="12" spans="1:19" ht="23.4" x14ac:dyDescent="0.25">
      <c r="A12" s="396" t="s">
        <v>9</v>
      </c>
      <c r="B12" s="5">
        <v>44759</v>
      </c>
      <c r="C12" s="6">
        <v>49492</v>
      </c>
      <c r="D12" s="287">
        <v>14</v>
      </c>
      <c r="E12" s="7">
        <v>2044762.0534205888</v>
      </c>
      <c r="F12" s="399" cm="1">
        <f t="array" ref="F12">_xlfn.XLOOKUP(A12,$M$13:$M$15,_xlfn.XLOOKUP(D12,$N$12:$R$12,$N$13:$R$15))</f>
        <v>0.11</v>
      </c>
      <c r="G12" s="68">
        <f t="shared" si="0"/>
        <v>224923.82587626477</v>
      </c>
      <c r="H12" s="68">
        <f t="shared" si="1"/>
        <v>1819838.227544324</v>
      </c>
      <c r="I12" s="8">
        <f t="shared" si="2"/>
        <v>5641498.5053874049</v>
      </c>
      <c r="K12" s="67"/>
      <c r="L12" s="72"/>
      <c r="M12" s="73" t="s">
        <v>57</v>
      </c>
      <c r="N12" s="74">
        <v>10</v>
      </c>
      <c r="O12" s="74">
        <v>13</v>
      </c>
      <c r="P12" s="74">
        <v>14</v>
      </c>
      <c r="Q12" s="74">
        <v>15</v>
      </c>
      <c r="R12" s="75">
        <v>12</v>
      </c>
    </row>
    <row r="13" spans="1:19" ht="23.4" x14ac:dyDescent="0.25">
      <c r="A13" s="396" t="s">
        <v>9</v>
      </c>
      <c r="B13" s="5">
        <v>44679</v>
      </c>
      <c r="C13" s="6">
        <v>76982</v>
      </c>
      <c r="D13" s="287">
        <v>13</v>
      </c>
      <c r="E13" s="7">
        <v>2617985.4305046364</v>
      </c>
      <c r="F13" s="399" cm="1">
        <f t="array" ref="F13">_xlfn.XLOOKUP(A13,$M$13:$M$15,_xlfn.XLOOKUP(D13,$N$12:$R$12,$N$13:$R$15))</f>
        <v>0.27</v>
      </c>
      <c r="G13" s="68">
        <f t="shared" si="0"/>
        <v>706856.06623625185</v>
      </c>
      <c r="H13" s="68">
        <f t="shared" si="1"/>
        <v>1911129.3642683844</v>
      </c>
      <c r="I13" s="8">
        <f t="shared" si="2"/>
        <v>5924501.0292319916</v>
      </c>
      <c r="K13" s="67"/>
      <c r="L13" s="72"/>
      <c r="M13" s="76" t="s">
        <v>11</v>
      </c>
      <c r="N13" s="77">
        <v>0.12</v>
      </c>
      <c r="O13" s="77">
        <v>0.2</v>
      </c>
      <c r="P13" s="77">
        <v>0.18</v>
      </c>
      <c r="Q13" s="77">
        <v>0.15</v>
      </c>
      <c r="R13" s="78">
        <v>0.09</v>
      </c>
    </row>
    <row r="14" spans="1:19" ht="23.4" x14ac:dyDescent="0.25">
      <c r="A14" s="396" t="s">
        <v>19</v>
      </c>
      <c r="B14" s="5">
        <v>44817</v>
      </c>
      <c r="C14" s="6">
        <v>184883</v>
      </c>
      <c r="D14" s="287">
        <v>10</v>
      </c>
      <c r="E14" s="7">
        <v>2226133.6383189736</v>
      </c>
      <c r="F14" s="399" cm="1">
        <f t="array" ref="F14">_xlfn.XLOOKUP(A14,$M$13:$M$15,_xlfn.XLOOKUP(D14,$N$12:$R$12,$N$13:$R$15))</f>
        <v>0.14000000000000001</v>
      </c>
      <c r="G14" s="68">
        <f t="shared" si="0"/>
        <v>311658.70936465636</v>
      </c>
      <c r="H14" s="68">
        <f t="shared" si="1"/>
        <v>1914474.9289543172</v>
      </c>
      <c r="I14" s="8">
        <f t="shared" si="2"/>
        <v>5934872.2797583835</v>
      </c>
      <c r="K14" s="67"/>
      <c r="L14" s="72"/>
      <c r="M14" s="76" t="s">
        <v>19</v>
      </c>
      <c r="N14" s="77">
        <v>0.14000000000000001</v>
      </c>
      <c r="O14" s="77">
        <v>0.25</v>
      </c>
      <c r="P14" s="77">
        <v>0.16</v>
      </c>
      <c r="Q14" s="77">
        <v>0.14000000000000001</v>
      </c>
      <c r="R14" s="78">
        <v>0.12</v>
      </c>
    </row>
    <row r="15" spans="1:19" ht="24" thickBot="1" x14ac:dyDescent="0.3">
      <c r="A15" s="396" t="s">
        <v>19</v>
      </c>
      <c r="B15" s="5">
        <v>44846</v>
      </c>
      <c r="C15" s="6">
        <v>8780</v>
      </c>
      <c r="D15" s="287">
        <v>10</v>
      </c>
      <c r="E15" s="7">
        <v>122381.75185310727</v>
      </c>
      <c r="F15" s="399" cm="1">
        <f t="array" ref="F15">_xlfn.XLOOKUP(A15,$M$13:$M$15,_xlfn.XLOOKUP(D15,$N$12:$R$12,$N$13:$R$15))</f>
        <v>0.14000000000000001</v>
      </c>
      <c r="G15" s="68">
        <f t="shared" si="0"/>
        <v>17133.445259435019</v>
      </c>
      <c r="H15" s="68">
        <f t="shared" si="1"/>
        <v>105248.30659367226</v>
      </c>
      <c r="I15" s="8">
        <f t="shared" si="2"/>
        <v>326269.75044038403</v>
      </c>
      <c r="K15" s="67"/>
      <c r="L15" s="72"/>
      <c r="M15" s="79" t="s">
        <v>9</v>
      </c>
      <c r="N15" s="80">
        <v>0.13</v>
      </c>
      <c r="O15" s="80">
        <v>0.27</v>
      </c>
      <c r="P15" s="80">
        <v>0.11</v>
      </c>
      <c r="Q15" s="80">
        <v>0.1</v>
      </c>
      <c r="R15" s="81">
        <v>0.26</v>
      </c>
    </row>
    <row r="16" spans="1:19" ht="14.4" x14ac:dyDescent="0.25">
      <c r="A16" s="396" t="s">
        <v>9</v>
      </c>
      <c r="B16" s="5">
        <v>44883</v>
      </c>
      <c r="C16" s="6">
        <v>46900</v>
      </c>
      <c r="D16" s="287">
        <v>14</v>
      </c>
      <c r="E16" s="7">
        <v>80582.931834117058</v>
      </c>
      <c r="F16" s="399" cm="1">
        <f t="array" ref="F16">_xlfn.XLOOKUP(A16,$M$13:$M$15,_xlfn.XLOOKUP(D16,$N$12:$R$12,$N$13:$R$15))</f>
        <v>0.11</v>
      </c>
      <c r="G16" s="68">
        <f t="shared" si="0"/>
        <v>8864.1225017528759</v>
      </c>
      <c r="H16" s="68">
        <f t="shared" si="1"/>
        <v>71718.809332364181</v>
      </c>
      <c r="I16" s="8">
        <f t="shared" si="2"/>
        <v>222328.30893032896</v>
      </c>
      <c r="K16" s="67"/>
      <c r="L16" s="72"/>
    </row>
    <row r="17" spans="1:14" ht="14.4" x14ac:dyDescent="0.25">
      <c r="A17" s="396" t="s">
        <v>9</v>
      </c>
      <c r="B17" s="5">
        <v>44706</v>
      </c>
      <c r="C17" s="6">
        <v>162174</v>
      </c>
      <c r="D17" s="287">
        <v>14</v>
      </c>
      <c r="E17" s="7">
        <v>1078268.712803452</v>
      </c>
      <c r="F17" s="399" cm="1">
        <f t="array" ref="F17">_xlfn.XLOOKUP(A17,$M$13:$M$15,_xlfn.XLOOKUP(D17,$N$12:$R$12,$N$13:$R$15))</f>
        <v>0.11</v>
      </c>
      <c r="G17" s="68">
        <f t="shared" si="0"/>
        <v>118609.55840837973</v>
      </c>
      <c r="H17" s="68">
        <f t="shared" si="1"/>
        <v>959659.15439507226</v>
      </c>
      <c r="I17" s="8">
        <f t="shared" si="2"/>
        <v>2974943.3786247242</v>
      </c>
      <c r="K17" s="67"/>
      <c r="L17" s="72"/>
    </row>
    <row r="18" spans="1:14" ht="14.4" x14ac:dyDescent="0.25">
      <c r="A18" s="396" t="s">
        <v>9</v>
      </c>
      <c r="B18" s="5">
        <v>44904</v>
      </c>
      <c r="C18" s="6">
        <v>10321</v>
      </c>
      <c r="D18" s="287">
        <v>14</v>
      </c>
      <c r="E18" s="7">
        <v>372444.86881914415</v>
      </c>
      <c r="F18" s="399" cm="1">
        <f t="array" ref="F18">_xlfn.XLOOKUP(A18,$M$13:$M$15,_xlfn.XLOOKUP(D18,$N$12:$R$12,$N$13:$R$15))</f>
        <v>0.11</v>
      </c>
      <c r="G18" s="68">
        <f t="shared" si="0"/>
        <v>40968.935570105859</v>
      </c>
      <c r="H18" s="68">
        <f t="shared" si="1"/>
        <v>331475.93324903829</v>
      </c>
      <c r="I18" s="8">
        <f t="shared" si="2"/>
        <v>1027575.3930720187</v>
      </c>
      <c r="K18" s="67"/>
      <c r="L18" s="72"/>
    </row>
    <row r="19" spans="1:14" ht="14.4" x14ac:dyDescent="0.25">
      <c r="A19" s="396" t="s">
        <v>9</v>
      </c>
      <c r="B19" s="5">
        <v>44734</v>
      </c>
      <c r="C19" s="6">
        <v>56091</v>
      </c>
      <c r="D19" s="287">
        <v>15</v>
      </c>
      <c r="E19" s="7">
        <v>1453028.3037917621</v>
      </c>
      <c r="F19" s="399" cm="1">
        <f t="array" ref="F19">_xlfn.XLOOKUP(A19,$M$13:$M$15,_xlfn.XLOOKUP(D19,$N$12:$R$12,$N$13:$R$15))</f>
        <v>0.1</v>
      </c>
      <c r="G19" s="68">
        <f t="shared" si="0"/>
        <v>145302.83037917622</v>
      </c>
      <c r="H19" s="68">
        <f t="shared" si="1"/>
        <v>1307725.4734125859</v>
      </c>
      <c r="I19" s="8">
        <f t="shared" si="2"/>
        <v>4053948.9675790165</v>
      </c>
      <c r="K19" s="67"/>
      <c r="L19" s="72"/>
      <c r="M19" s="9" t="s">
        <v>60</v>
      </c>
    </row>
    <row r="20" spans="1:14" ht="14.4" x14ac:dyDescent="0.25">
      <c r="A20" s="396" t="s">
        <v>11</v>
      </c>
      <c r="B20" s="5">
        <v>44752</v>
      </c>
      <c r="C20" s="6">
        <v>12866</v>
      </c>
      <c r="D20" s="287">
        <v>10</v>
      </c>
      <c r="E20" s="7">
        <v>133822.73527755728</v>
      </c>
      <c r="F20" s="399" cm="1">
        <f t="array" ref="F20">_xlfn.XLOOKUP(A20,$M$13:$M$15,_xlfn.XLOOKUP(D20,$N$12:$R$12,$N$13:$R$15))</f>
        <v>0.12</v>
      </c>
      <c r="G20" s="68">
        <f t="shared" si="0"/>
        <v>16058.728233306872</v>
      </c>
      <c r="H20" s="68">
        <f t="shared" si="1"/>
        <v>117764.00704425041</v>
      </c>
      <c r="I20" s="8">
        <f t="shared" si="2"/>
        <v>365068.42183717625</v>
      </c>
      <c r="K20" s="67"/>
      <c r="L20" s="72"/>
    </row>
    <row r="21" spans="1:14" ht="14.4" x14ac:dyDescent="0.25">
      <c r="A21" s="396" t="s">
        <v>11</v>
      </c>
      <c r="B21" s="5">
        <v>44743</v>
      </c>
      <c r="C21" s="6">
        <v>71270</v>
      </c>
      <c r="D21" s="287">
        <v>13</v>
      </c>
      <c r="E21" s="7">
        <v>142479.52031448073</v>
      </c>
      <c r="F21" s="399" cm="1">
        <f t="array" ref="F21">_xlfn.XLOOKUP(A21,$M$13:$M$15,_xlfn.XLOOKUP(D21,$N$12:$R$12,$N$13:$R$15))</f>
        <v>0.2</v>
      </c>
      <c r="G21" s="68">
        <f t="shared" si="0"/>
        <v>28495.904062896148</v>
      </c>
      <c r="H21" s="68">
        <f t="shared" si="1"/>
        <v>113983.61625158458</v>
      </c>
      <c r="I21" s="8">
        <f t="shared" si="2"/>
        <v>353349.21037991223</v>
      </c>
      <c r="K21" s="67"/>
      <c r="L21" s="72"/>
      <c r="M21" s="69">
        <v>3.1</v>
      </c>
      <c r="N21" s="70" t="s">
        <v>56</v>
      </c>
    </row>
    <row r="22" spans="1:14" ht="14.4" x14ac:dyDescent="0.25">
      <c r="A22" s="396" t="s">
        <v>11</v>
      </c>
      <c r="B22" s="5">
        <v>44593</v>
      </c>
      <c r="C22" s="6">
        <v>10129</v>
      </c>
      <c r="D22" s="287">
        <v>14</v>
      </c>
      <c r="E22" s="7">
        <v>22812.44860458418</v>
      </c>
      <c r="F22" s="399" cm="1">
        <f t="array" ref="F22">_xlfn.XLOOKUP(A22,$M$13:$M$15,_xlfn.XLOOKUP(D22,$N$12:$R$12,$N$13:$R$15))</f>
        <v>0.18</v>
      </c>
      <c r="G22" s="68">
        <f t="shared" si="0"/>
        <v>4106.240748825152</v>
      </c>
      <c r="H22" s="68">
        <f t="shared" si="1"/>
        <v>18706.207855759028</v>
      </c>
      <c r="I22" s="8">
        <f t="shared" si="2"/>
        <v>57989.244352852991</v>
      </c>
      <c r="K22" s="67"/>
      <c r="L22" s="72"/>
    </row>
    <row r="23" spans="1:14" ht="14.4" x14ac:dyDescent="0.25">
      <c r="A23" s="396" t="s">
        <v>19</v>
      </c>
      <c r="B23" s="5">
        <v>44578</v>
      </c>
      <c r="C23" s="6">
        <v>143689</v>
      </c>
      <c r="D23" s="287">
        <v>13</v>
      </c>
      <c r="E23" s="7">
        <v>1900016.8003544933</v>
      </c>
      <c r="F23" s="399" cm="1">
        <f t="array" ref="F23">_xlfn.XLOOKUP(A23,$M$13:$M$15,_xlfn.XLOOKUP(D23,$N$12:$R$12,$N$13:$R$15))</f>
        <v>0.25</v>
      </c>
      <c r="G23" s="68">
        <f t="shared" si="0"/>
        <v>475004.20008862333</v>
      </c>
      <c r="H23" s="68">
        <f t="shared" si="1"/>
        <v>1425012.6002658699</v>
      </c>
      <c r="I23" s="8">
        <f t="shared" si="2"/>
        <v>4417539.0608241968</v>
      </c>
      <c r="K23" s="67"/>
      <c r="L23" s="72"/>
    </row>
    <row r="24" spans="1:14" ht="14.4" x14ac:dyDescent="0.25">
      <c r="A24" s="396" t="s">
        <v>19</v>
      </c>
      <c r="B24" s="5">
        <v>44601</v>
      </c>
      <c r="C24" s="6">
        <v>25719</v>
      </c>
      <c r="D24" s="287">
        <v>12</v>
      </c>
      <c r="E24" s="7">
        <v>186489.11906743521</v>
      </c>
      <c r="F24" s="399" cm="1">
        <f t="array" ref="F24">_xlfn.XLOOKUP(A24,$M$13:$M$15,_xlfn.XLOOKUP(D24,$N$12:$R$12,$N$13:$R$15))</f>
        <v>0.12</v>
      </c>
      <c r="G24" s="68">
        <f t="shared" si="0"/>
        <v>22378.694288092225</v>
      </c>
      <c r="H24" s="68">
        <f t="shared" si="1"/>
        <v>164110.42477934298</v>
      </c>
      <c r="I24" s="8">
        <f t="shared" si="2"/>
        <v>508742.31681596325</v>
      </c>
      <c r="K24" s="67"/>
      <c r="L24" s="72"/>
    </row>
    <row r="25" spans="1:14" ht="14.4" x14ac:dyDescent="0.25">
      <c r="A25" s="396" t="s">
        <v>9</v>
      </c>
      <c r="B25" s="5">
        <v>44820</v>
      </c>
      <c r="C25" s="6">
        <v>215746</v>
      </c>
      <c r="D25" s="287">
        <v>14</v>
      </c>
      <c r="E25" s="7">
        <v>1094342.8807251898</v>
      </c>
      <c r="F25" s="399" cm="1">
        <f t="array" ref="F25">_xlfn.XLOOKUP(A25,$M$13:$M$15,_xlfn.XLOOKUP(D25,$N$12:$R$12,$N$13:$R$15))</f>
        <v>0.11</v>
      </c>
      <c r="G25" s="68">
        <f t="shared" si="0"/>
        <v>120377.71687977087</v>
      </c>
      <c r="H25" s="68">
        <f t="shared" si="1"/>
        <v>973965.16384541895</v>
      </c>
      <c r="I25" s="8">
        <f t="shared" si="2"/>
        <v>3019292.0079207988</v>
      </c>
      <c r="K25" s="67"/>
      <c r="L25" s="72"/>
    </row>
    <row r="26" spans="1:14" ht="14.4" x14ac:dyDescent="0.25">
      <c r="A26" s="396" t="s">
        <v>19</v>
      </c>
      <c r="B26" s="5">
        <v>44893</v>
      </c>
      <c r="C26" s="6">
        <v>131191</v>
      </c>
      <c r="D26" s="287">
        <v>10</v>
      </c>
      <c r="E26" s="7">
        <v>203520.29998243746</v>
      </c>
      <c r="F26" s="399" cm="1">
        <f t="array" ref="F26">_xlfn.XLOOKUP(A26,$M$13:$M$15,_xlfn.XLOOKUP(D26,$N$12:$R$12,$N$13:$R$15))</f>
        <v>0.14000000000000001</v>
      </c>
      <c r="G26" s="68">
        <f t="shared" si="0"/>
        <v>28492.841997541247</v>
      </c>
      <c r="H26" s="68">
        <f t="shared" si="1"/>
        <v>175027.4579848962</v>
      </c>
      <c r="I26" s="8">
        <f t="shared" si="2"/>
        <v>542585.11975317821</v>
      </c>
      <c r="K26" s="67"/>
      <c r="L26" s="72"/>
    </row>
    <row r="27" spans="1:14" x14ac:dyDescent="0.25">
      <c r="K27" s="67"/>
      <c r="L27" s="68"/>
    </row>
    <row r="28" spans="1:14" x14ac:dyDescent="0.25">
      <c r="K28" s="67"/>
      <c r="L28" s="68"/>
    </row>
    <row r="29" spans="1:14" x14ac:dyDescent="0.25">
      <c r="K29" s="67"/>
      <c r="L29" s="68"/>
    </row>
    <row r="35" spans="1:18" x14ac:dyDescent="0.25">
      <c r="A35" s="435" t="s">
        <v>61</v>
      </c>
      <c r="B35" s="435"/>
      <c r="C35" s="435"/>
      <c r="D35" s="435"/>
      <c r="E35" s="435"/>
      <c r="F35" s="435"/>
      <c r="G35" s="435"/>
      <c r="H35" s="435"/>
      <c r="I35" s="435"/>
      <c r="J35" s="435"/>
      <c r="K35" s="435"/>
      <c r="L35" s="435"/>
      <c r="M35" s="435"/>
      <c r="N35" s="435"/>
      <c r="O35" s="435"/>
      <c r="P35" s="435"/>
      <c r="Q35" s="435"/>
      <c r="R35" s="435"/>
    </row>
    <row r="36" spans="1:18" x14ac:dyDescent="0.25">
      <c r="A36" s="435"/>
      <c r="B36" s="435"/>
      <c r="C36" s="435"/>
      <c r="D36" s="435"/>
      <c r="E36" s="435"/>
      <c r="F36" s="435"/>
      <c r="G36" s="435"/>
      <c r="H36" s="435"/>
      <c r="I36" s="435"/>
      <c r="J36" s="435"/>
      <c r="K36" s="435"/>
      <c r="L36" s="435"/>
      <c r="M36" s="435"/>
      <c r="N36" s="435"/>
      <c r="O36" s="435"/>
      <c r="P36" s="435"/>
      <c r="Q36" s="435"/>
      <c r="R36" s="435"/>
    </row>
    <row r="37" spans="1:18" x14ac:dyDescent="0.25">
      <c r="A37" s="435"/>
      <c r="B37" s="435"/>
      <c r="C37" s="435"/>
      <c r="D37" s="435"/>
      <c r="E37" s="435"/>
      <c r="F37" s="435"/>
      <c r="G37" s="435"/>
      <c r="H37" s="435"/>
      <c r="I37" s="435"/>
      <c r="J37" s="435"/>
      <c r="K37" s="435"/>
      <c r="L37" s="435"/>
      <c r="M37" s="435"/>
      <c r="N37" s="435"/>
      <c r="O37" s="435"/>
      <c r="P37" s="435"/>
      <c r="Q37" s="435"/>
      <c r="R37" s="435"/>
    </row>
    <row r="38" spans="1:18" x14ac:dyDescent="0.25">
      <c r="K38" s="67"/>
    </row>
    <row r="39" spans="1:18" x14ac:dyDescent="0.25">
      <c r="K39" s="67"/>
    </row>
    <row r="40" spans="1:18" x14ac:dyDescent="0.25">
      <c r="K40" s="67"/>
    </row>
    <row r="41" spans="1:18" x14ac:dyDescent="0.25">
      <c r="K41" s="67"/>
    </row>
    <row r="42" spans="1:18" x14ac:dyDescent="0.25">
      <c r="K42" s="67"/>
    </row>
    <row r="43" spans="1:18" x14ac:dyDescent="0.25">
      <c r="K43" s="67"/>
    </row>
    <row r="44" spans="1:18" x14ac:dyDescent="0.25">
      <c r="K44" s="67"/>
    </row>
    <row r="45" spans="1:18" x14ac:dyDescent="0.25">
      <c r="K45" s="67"/>
    </row>
    <row r="46" spans="1:18" x14ac:dyDescent="0.25">
      <c r="K46" s="67"/>
    </row>
    <row r="47" spans="1:18" x14ac:dyDescent="0.25">
      <c r="K47" s="67"/>
    </row>
    <row r="48" spans="1:18" x14ac:dyDescent="0.25">
      <c r="K48" s="67"/>
    </row>
    <row r="49" spans="3:17" ht="14.4" x14ac:dyDescent="0.3">
      <c r="F49" s="85"/>
      <c r="G49" s="401"/>
      <c r="H49" s="401"/>
      <c r="I49" s="401"/>
      <c r="K49" s="85" t="s">
        <v>62</v>
      </c>
      <c r="L49" s="85"/>
      <c r="M49" s="85"/>
      <c r="N49" s="85"/>
      <c r="O49" s="85"/>
      <c r="P49" s="85"/>
      <c r="Q49" s="85"/>
    </row>
    <row r="50" spans="3:17" ht="14.4" x14ac:dyDescent="0.3">
      <c r="C50" s="82"/>
      <c r="D50"/>
      <c r="E50"/>
      <c r="F50" s="83"/>
      <c r="G50" s="402"/>
      <c r="H50" s="402"/>
      <c r="I50" s="402"/>
      <c r="J50" s="83"/>
      <c r="K50" s="83"/>
      <c r="L50"/>
      <c r="M50" s="82"/>
      <c r="N50"/>
      <c r="O50"/>
      <c r="P50"/>
      <c r="Q50"/>
    </row>
    <row r="51" spans="3:17" ht="14.4" x14ac:dyDescent="0.3">
      <c r="C51" s="84" t="s">
        <v>63</v>
      </c>
      <c r="D51" s="86" t="s">
        <v>64</v>
      </c>
      <c r="E51" s="87" t="s">
        <v>65</v>
      </c>
      <c r="F51" s="86" t="s">
        <v>66</v>
      </c>
      <c r="G51" s="403" t="s">
        <v>67</v>
      </c>
      <c r="H51" s="403"/>
      <c r="I51" s="403"/>
      <c r="J51" s="86" t="s">
        <v>68</v>
      </c>
      <c r="K51" s="87" t="s">
        <v>69</v>
      </c>
      <c r="L51" s="87" t="s">
        <v>70</v>
      </c>
      <c r="M51" s="86" t="s">
        <v>71</v>
      </c>
      <c r="N51" s="87" t="s">
        <v>72</v>
      </c>
      <c r="O51" s="86" t="s">
        <v>73</v>
      </c>
      <c r="P51" s="87" t="s">
        <v>74</v>
      </c>
      <c r="Q51" s="87" t="s">
        <v>75</v>
      </c>
    </row>
    <row r="52" spans="3:17" ht="28.2" x14ac:dyDescent="0.3">
      <c r="C52" s="88" t="s">
        <v>76</v>
      </c>
      <c r="D52" s="89" t="s">
        <v>77</v>
      </c>
      <c r="E52" s="90" t="s">
        <v>78</v>
      </c>
      <c r="F52" s="397" t="s">
        <v>79</v>
      </c>
      <c r="G52" s="404" t="s">
        <v>80</v>
      </c>
      <c r="H52" s="404"/>
      <c r="I52" s="404"/>
      <c r="J52" s="90" t="s">
        <v>78</v>
      </c>
      <c r="K52" s="89" t="s">
        <v>77</v>
      </c>
      <c r="L52" s="90" t="s">
        <v>78</v>
      </c>
      <c r="M52" s="90" t="s">
        <v>80</v>
      </c>
      <c r="N52" s="89" t="s">
        <v>79</v>
      </c>
      <c r="O52" s="90" t="s">
        <v>78</v>
      </c>
      <c r="P52" s="89" t="s">
        <v>79</v>
      </c>
      <c r="Q52" s="90" t="s">
        <v>80</v>
      </c>
    </row>
    <row r="53" spans="3:17" ht="42" x14ac:dyDescent="0.3">
      <c r="C53" s="88" t="s">
        <v>81</v>
      </c>
      <c r="D53" s="90" t="s">
        <v>80</v>
      </c>
      <c r="E53" s="90" t="s">
        <v>78</v>
      </c>
      <c r="F53" s="398" t="s">
        <v>80</v>
      </c>
      <c r="G53" s="405" t="s">
        <v>77</v>
      </c>
      <c r="H53" s="405"/>
      <c r="I53" s="405"/>
      <c r="J53" s="89" t="s">
        <v>79</v>
      </c>
      <c r="K53" s="90" t="s">
        <v>78</v>
      </c>
      <c r="L53" s="90" t="s">
        <v>80</v>
      </c>
      <c r="M53" s="89" t="s">
        <v>77</v>
      </c>
      <c r="N53" s="90" t="s">
        <v>78</v>
      </c>
      <c r="O53" s="90" t="s">
        <v>80</v>
      </c>
      <c r="P53" s="89" t="s">
        <v>77</v>
      </c>
      <c r="Q53" s="90" t="s">
        <v>80</v>
      </c>
    </row>
    <row r="54" spans="3:17" ht="42" x14ac:dyDescent="0.3">
      <c r="C54" s="88" t="s">
        <v>82</v>
      </c>
      <c r="D54" s="89" t="s">
        <v>79</v>
      </c>
      <c r="E54" s="90" t="s">
        <v>80</v>
      </c>
      <c r="F54" s="397" t="s">
        <v>77</v>
      </c>
      <c r="G54" s="404" t="s">
        <v>80</v>
      </c>
      <c r="H54" s="404"/>
      <c r="I54" s="404"/>
      <c r="J54" s="90" t="s">
        <v>78</v>
      </c>
      <c r="K54" s="90" t="s">
        <v>80</v>
      </c>
      <c r="L54" s="89" t="s">
        <v>77</v>
      </c>
      <c r="M54" s="90" t="s">
        <v>78</v>
      </c>
      <c r="N54" s="90" t="s">
        <v>78</v>
      </c>
      <c r="O54" s="89" t="s">
        <v>77</v>
      </c>
      <c r="P54" s="90" t="s">
        <v>78</v>
      </c>
      <c r="Q54" s="89" t="s">
        <v>79</v>
      </c>
    </row>
    <row r="55" spans="3:17" ht="28.2" x14ac:dyDescent="0.3">
      <c r="C55" s="88" t="s">
        <v>83</v>
      </c>
      <c r="D55" s="89" t="s">
        <v>77</v>
      </c>
      <c r="E55" s="90" t="s">
        <v>80</v>
      </c>
      <c r="F55" s="398" t="s">
        <v>78</v>
      </c>
      <c r="G55" s="404" t="s">
        <v>78</v>
      </c>
      <c r="H55" s="404"/>
      <c r="I55" s="404"/>
      <c r="J55" s="90" t="s">
        <v>80</v>
      </c>
      <c r="K55" s="89" t="s">
        <v>77</v>
      </c>
      <c r="L55" s="90" t="s">
        <v>78</v>
      </c>
      <c r="M55" s="89" t="s">
        <v>79</v>
      </c>
      <c r="N55" s="90" t="s">
        <v>78</v>
      </c>
      <c r="O55" s="89" t="s">
        <v>79</v>
      </c>
      <c r="P55" s="90" t="s">
        <v>78</v>
      </c>
      <c r="Q55" s="89" t="s">
        <v>77</v>
      </c>
    </row>
  </sheetData>
  <mergeCells count="3">
    <mergeCell ref="M9:R9"/>
    <mergeCell ref="J2:S3"/>
    <mergeCell ref="A35:R3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BEDC-88FA-4ADD-8A41-948AF0F1D85A}">
  <dimension ref="A1:AA70"/>
  <sheetViews>
    <sheetView rightToLeft="1" topLeftCell="I1" workbookViewId="0">
      <selection activeCell="R33" sqref="R33"/>
    </sheetView>
  </sheetViews>
  <sheetFormatPr defaultColWidth="8.796875" defaultRowHeight="13.8" x14ac:dyDescent="0.25"/>
  <cols>
    <col min="1" max="1" width="13.796875" customWidth="1"/>
    <col min="2" max="2" width="9.69921875" customWidth="1"/>
    <col min="3" max="3" width="11.796875" customWidth="1"/>
    <col min="4" max="4" width="17" customWidth="1"/>
    <col min="5" max="5" width="18.19921875" customWidth="1"/>
    <col min="6" max="6" width="11.69921875" customWidth="1"/>
    <col min="7" max="7" width="11.69921875" bestFit="1" customWidth="1"/>
    <col min="8" max="8" width="11.69921875" customWidth="1"/>
    <col min="9" max="9" width="24" customWidth="1"/>
    <col min="10" max="10" width="12" customWidth="1"/>
    <col min="11" max="11" width="11.796875" bestFit="1" customWidth="1"/>
    <col min="12" max="12" width="16.69921875" style="318" customWidth="1"/>
    <col min="13" max="13" width="14.69921875" style="318" bestFit="1" customWidth="1"/>
    <col min="14" max="14" width="17.5" customWidth="1"/>
    <col min="15" max="15" width="9.8984375" bestFit="1" customWidth="1"/>
    <col min="17" max="17" width="14.69921875" bestFit="1" customWidth="1"/>
    <col min="22" max="23" width="14.3984375" bestFit="1" customWidth="1"/>
    <col min="24" max="24" width="12" bestFit="1" customWidth="1"/>
    <col min="26" max="26" width="11.69921875" customWidth="1"/>
    <col min="27" max="27" width="12" customWidth="1"/>
  </cols>
  <sheetData>
    <row r="1" spans="1:27" ht="35.25" customHeight="1" x14ac:dyDescent="0.25">
      <c r="A1" s="341" t="s">
        <v>391</v>
      </c>
      <c r="B1" s="342" t="s">
        <v>392</v>
      </c>
      <c r="C1" s="342" t="s">
        <v>393</v>
      </c>
      <c r="D1" s="342" t="s">
        <v>394</v>
      </c>
      <c r="E1" s="342" t="s">
        <v>395</v>
      </c>
      <c r="F1" s="342" t="s">
        <v>396</v>
      </c>
      <c r="G1" s="342" t="s">
        <v>38</v>
      </c>
      <c r="H1" s="342" t="s">
        <v>397</v>
      </c>
      <c r="I1" s="342" t="s">
        <v>398</v>
      </c>
      <c r="J1" s="342" t="s">
        <v>399</v>
      </c>
      <c r="K1" s="343" t="s">
        <v>400</v>
      </c>
      <c r="L1" s="407" t="s">
        <v>562</v>
      </c>
      <c r="M1" s="407" t="s">
        <v>561</v>
      </c>
      <c r="N1" s="342" t="s">
        <v>402</v>
      </c>
      <c r="O1" s="406" t="s">
        <v>559</v>
      </c>
      <c r="X1" s="378"/>
      <c r="AA1" s="422"/>
    </row>
    <row r="2" spans="1:27" x14ac:dyDescent="0.25">
      <c r="A2" s="345">
        <v>12500</v>
      </c>
      <c r="B2" s="346" t="s">
        <v>405</v>
      </c>
      <c r="C2" s="346" t="s">
        <v>406</v>
      </c>
      <c r="D2" s="347">
        <v>33557</v>
      </c>
      <c r="E2" s="346">
        <v>1</v>
      </c>
      <c r="F2" s="346">
        <v>77503</v>
      </c>
      <c r="G2" s="348">
        <v>12543</v>
      </c>
      <c r="H2" s="348" t="s">
        <v>407</v>
      </c>
      <c r="I2" s="346" t="str">
        <f>VLOOKUP('X בתוך X רופאים'!$E2,[2]התמחויות!$A$2:$B$16,2,0)</f>
        <v>רפואת ילדים</v>
      </c>
      <c r="J2" s="348">
        <f>'X בתוך X רופאים'!$G2*(1+$A$67)</f>
        <v>14048.160000000002</v>
      </c>
      <c r="K2" s="348">
        <f>'X בתוך X רופאים'!$J2-(VLOOKUP('X בתוך X רופאים'!$J2,$K$64:$N$67,2)*'X בתוך X רופאים'!$J2)</f>
        <v>14048.160000000002</v>
      </c>
      <c r="L2" s="424">
        <f t="shared" ref="L2:L33" ca="1" si="0">M2/$T$10</f>
        <v>368.42105263157896</v>
      </c>
      <c r="M2" s="318" cm="1">
        <f t="array" aca="1" ref="M2" ca="1">_xlfn.XLOOKUP(O2,'רופאים נתוני עזר'!$A$6:$A$9,_xlfn.XLOOKUP(H2,'רופאים נתוני עזר'!$B$5:$K$5,'רופאים נתוני עזר'!$B$6:$K$9),,-1)</f>
        <v>1400</v>
      </c>
      <c r="N2" s="348">
        <f>'X בתוך X רופאים'!$K2/$T$5</f>
        <v>3512.0400000000004</v>
      </c>
      <c r="O2">
        <f t="shared" ref="O2:O33" ca="1" si="1">YEAR(TODAY())-YEAR(D2)</f>
        <v>35</v>
      </c>
      <c r="AA2" s="355"/>
    </row>
    <row r="3" spans="1:27" x14ac:dyDescent="0.25">
      <c r="A3" s="351">
        <v>12501</v>
      </c>
      <c r="B3" s="352" t="s">
        <v>408</v>
      </c>
      <c r="C3" s="352" t="s">
        <v>409</v>
      </c>
      <c r="D3" s="353">
        <v>28872</v>
      </c>
      <c r="E3" s="352">
        <v>2</v>
      </c>
      <c r="F3" s="352">
        <v>21170</v>
      </c>
      <c r="G3" s="354">
        <v>21559</v>
      </c>
      <c r="H3" s="354" t="s">
        <v>410</v>
      </c>
      <c r="I3" s="352" t="str">
        <f>VLOOKUP('X בתוך X רופאים'!$E3,[2]התמחויות!$A$2:$B$16,2,0)</f>
        <v>כירורגיה כללית</v>
      </c>
      <c r="J3" s="354">
        <f>'X בתוך X רופאים'!$G3*(1+$A$67)</f>
        <v>24146.080000000002</v>
      </c>
      <c r="K3" s="354">
        <f>'X בתוך X רופאים'!$J3-(VLOOKUP('X בתוך X רופאים'!$J3,$K$64:$N$67,2)*'X בתוך X רופאים'!$J3)</f>
        <v>24146.080000000002</v>
      </c>
      <c r="L3" s="424">
        <f t="shared" ca="1" si="0"/>
        <v>394.73684210526318</v>
      </c>
      <c r="M3" s="318" cm="1">
        <f t="array" aca="1" ref="M3" ca="1">_xlfn.XLOOKUP(O3,'רופאים נתוני עזר'!$A$6:$A$9,_xlfn.XLOOKUP(H3,'רופאים נתוני עזר'!$B$5:$K$5,'רופאים נתוני עזר'!$B$6:$K$9),,-1)</f>
        <v>1500</v>
      </c>
      <c r="N3" s="354">
        <f>'X בתוך X רופאים'!$K3/$T$5</f>
        <v>6036.52</v>
      </c>
      <c r="O3">
        <f t="shared" ca="1" si="1"/>
        <v>47</v>
      </c>
      <c r="AA3" s="355"/>
    </row>
    <row r="4" spans="1:27" x14ac:dyDescent="0.25">
      <c r="A4" s="345">
        <v>12502</v>
      </c>
      <c r="B4" s="346" t="s">
        <v>411</v>
      </c>
      <c r="C4" s="346" t="s">
        <v>412</v>
      </c>
      <c r="D4" s="347">
        <v>33287</v>
      </c>
      <c r="E4" s="346">
        <v>3</v>
      </c>
      <c r="F4" s="346">
        <v>19941</v>
      </c>
      <c r="G4" s="348">
        <v>15825</v>
      </c>
      <c r="H4" s="348" t="s">
        <v>413</v>
      </c>
      <c r="I4" s="346" t="str">
        <f>VLOOKUP('X בתוך X רופאים'!$E4,[2]התמחויות!$A$2:$B$16,2,0)</f>
        <v>הרדמה</v>
      </c>
      <c r="J4" s="348">
        <f>'X בתוך X רופאים'!$G4*(1+$A$67)</f>
        <v>17724</v>
      </c>
      <c r="K4" s="348">
        <f>'X בתוך X רופאים'!$J4-(VLOOKUP('X בתוך X רופאים'!$J4,$K$64:$N$67,2)*'X בתוך X רופאים'!$J4)</f>
        <v>17724</v>
      </c>
      <c r="L4" s="424">
        <f t="shared" ca="1" si="0"/>
        <v>276.31578947368422</v>
      </c>
      <c r="M4" s="318" cm="1">
        <f t="array" aca="1" ref="M4" ca="1">_xlfn.XLOOKUP(O4,'רופאים נתוני עזר'!$A$6:$A$9,_xlfn.XLOOKUP(H4,'רופאים נתוני עזר'!$B$5:$K$5,'רופאים נתוני עזר'!$B$6:$K$9),,-1)</f>
        <v>1050</v>
      </c>
      <c r="N4" s="348">
        <f>'X בתוך X רופאים'!$K4/$T$5</f>
        <v>4431</v>
      </c>
      <c r="O4">
        <f t="shared" ca="1" si="1"/>
        <v>35</v>
      </c>
      <c r="AA4" s="355"/>
    </row>
    <row r="5" spans="1:27" x14ac:dyDescent="0.25">
      <c r="A5" s="351">
        <v>12503</v>
      </c>
      <c r="B5" s="352" t="s">
        <v>411</v>
      </c>
      <c r="C5" s="352" t="s">
        <v>415</v>
      </c>
      <c r="D5" s="353">
        <v>34161</v>
      </c>
      <c r="E5" s="352">
        <v>4</v>
      </c>
      <c r="F5" s="352">
        <v>35081</v>
      </c>
      <c r="G5" s="354">
        <v>23325</v>
      </c>
      <c r="H5" s="354" t="s">
        <v>416</v>
      </c>
      <c r="I5" s="352" t="str">
        <f>VLOOKUP('X בתוך X רופאים'!$E5,[2]התמחויות!$A$2:$B$16,2,0)</f>
        <v>המטולוגיה</v>
      </c>
      <c r="J5" s="354">
        <f>'X בתוך X רופאים'!$G5*(1+$A$67)</f>
        <v>26124.000000000004</v>
      </c>
      <c r="K5" s="354">
        <f>'X בתוך X רופאים'!$J5-(VLOOKUP('X בתוך X רופאים'!$J5,$K$64:$N$67,2)*'X בתוך X רופאים'!$J5)</f>
        <v>26124.000000000004</v>
      </c>
      <c r="L5" s="424">
        <f t="shared" ca="1" si="0"/>
        <v>289.47368421052636</v>
      </c>
      <c r="M5" s="318" cm="1">
        <f t="array" aca="1" ref="M5" ca="1">_xlfn.XLOOKUP(O5,'רופאים נתוני עזר'!$A$6:$A$9,_xlfn.XLOOKUP(H5,'רופאים נתוני עזר'!$B$5:$K$5,'רופאים נתוני עזר'!$B$6:$K$9),,-1)</f>
        <v>1100</v>
      </c>
      <c r="N5" s="354">
        <f>'X בתוך X רופאים'!$K5/$T$5</f>
        <v>6531.0000000000009</v>
      </c>
      <c r="O5">
        <f t="shared" ca="1" si="1"/>
        <v>33</v>
      </c>
      <c r="T5">
        <v>4</v>
      </c>
      <c r="X5" s="318"/>
      <c r="AA5" s="355"/>
    </row>
    <row r="6" spans="1:27" x14ac:dyDescent="0.25">
      <c r="A6" s="345">
        <v>12504</v>
      </c>
      <c r="B6" s="346" t="s">
        <v>417</v>
      </c>
      <c r="C6" s="346" t="s">
        <v>418</v>
      </c>
      <c r="D6" s="347">
        <v>32830</v>
      </c>
      <c r="E6" s="346">
        <v>5</v>
      </c>
      <c r="F6" s="346">
        <v>32385</v>
      </c>
      <c r="G6" s="348">
        <v>17386</v>
      </c>
      <c r="H6" s="348" t="s">
        <v>419</v>
      </c>
      <c r="I6" s="346" t="str">
        <f>VLOOKUP('X בתוך X רופאים'!$E6,[2]התמחויות!$A$2:$B$16,2,0)</f>
        <v>פסיכיאטריה</v>
      </c>
      <c r="J6" s="348">
        <f>'X בתוך X רופאים'!$G6*(1+$A$67)</f>
        <v>19472.320000000003</v>
      </c>
      <c r="K6" s="348">
        <f>'X בתוך X רופאים'!$J6-(VLOOKUP('X בתוך X רופאים'!$J6,$K$64:$N$67,2)*'X בתוך X רופאים'!$J6)</f>
        <v>19472.320000000003</v>
      </c>
      <c r="L6" s="424">
        <f t="shared" ca="1" si="0"/>
        <v>302.63157894736844</v>
      </c>
      <c r="M6" s="318" cm="1">
        <f t="array" aca="1" ref="M6" ca="1">_xlfn.XLOOKUP(O6,'רופאים נתוני עזר'!$A$6:$A$9,_xlfn.XLOOKUP(H6,'רופאים נתוני עזר'!$B$5:$K$5,'רופאים נתוני עזר'!$B$6:$K$9),,-1)</f>
        <v>1150</v>
      </c>
      <c r="N6" s="348">
        <f>'X בתוך X רופאים'!$K6/$T$5</f>
        <v>4868.0800000000008</v>
      </c>
      <c r="O6">
        <f t="shared" ca="1" si="1"/>
        <v>37</v>
      </c>
      <c r="T6">
        <v>3000</v>
      </c>
      <c r="X6" s="318"/>
      <c r="AA6" s="355"/>
    </row>
    <row r="7" spans="1:27" x14ac:dyDescent="0.25">
      <c r="A7" s="351">
        <v>12505</v>
      </c>
      <c r="B7" s="352" t="s">
        <v>420</v>
      </c>
      <c r="C7" s="352" t="s">
        <v>421</v>
      </c>
      <c r="D7" s="353">
        <v>27386</v>
      </c>
      <c r="E7" s="352">
        <v>1</v>
      </c>
      <c r="F7" s="352">
        <v>3435</v>
      </c>
      <c r="G7" s="354">
        <v>23904</v>
      </c>
      <c r="H7" s="354" t="s">
        <v>67</v>
      </c>
      <c r="I7" s="352" t="str">
        <f>VLOOKUP('X בתוך X רופאים'!$E7,[2]התמחויות!$A$2:$B$16,2,0)</f>
        <v>רפואת ילדים</v>
      </c>
      <c r="J7" s="354">
        <f>'X בתוך X רופאים'!$G7*(1+$A$67)</f>
        <v>26772.480000000003</v>
      </c>
      <c r="K7" s="354">
        <f>'X בתוך X רופאים'!$J7-(VLOOKUP('X בתוך X רופאים'!$J7,$K$64:$N$67,2)*'X בתוך X רופאים'!$J7)</f>
        <v>26772.480000000003</v>
      </c>
      <c r="L7" s="424">
        <f t="shared" ca="1" si="0"/>
        <v>500</v>
      </c>
      <c r="M7" s="318" cm="1">
        <f t="array" aca="1" ref="M7" ca="1">_xlfn.XLOOKUP(O7,'רופאים נתוני עזר'!$A$6:$A$9,_xlfn.XLOOKUP(H7,'רופאים נתוני עזר'!$B$5:$K$5,'רופאים נתוני עזר'!$B$6:$K$9),,-1)</f>
        <v>1900</v>
      </c>
      <c r="N7" s="354">
        <f>'X בתוך X רופאים'!$K7/$T$5</f>
        <v>6693.1200000000008</v>
      </c>
      <c r="O7">
        <f t="shared" ca="1" si="1"/>
        <v>52</v>
      </c>
      <c r="W7" s="320"/>
      <c r="AA7" s="355"/>
    </row>
    <row r="8" spans="1:27" x14ac:dyDescent="0.25">
      <c r="A8" s="345">
        <v>12506</v>
      </c>
      <c r="B8" s="346" t="s">
        <v>422</v>
      </c>
      <c r="C8" s="346" t="s">
        <v>423</v>
      </c>
      <c r="D8" s="347">
        <v>25020</v>
      </c>
      <c r="E8" s="346">
        <v>6</v>
      </c>
      <c r="F8" s="346">
        <v>1396681</v>
      </c>
      <c r="G8" s="348">
        <v>8498</v>
      </c>
      <c r="H8" s="348" t="s">
        <v>66</v>
      </c>
      <c r="I8" s="346" t="str">
        <f>VLOOKUP('X בתוך X רופאים'!$E8,[2]התמחויות!$A$2:$B$16,2,0)</f>
        <v>רפואה פיסיקלית ושיקום</v>
      </c>
      <c r="J8" s="348">
        <f>'X בתוך X רופאים'!$G8*(1+$A$67)</f>
        <v>9517.76</v>
      </c>
      <c r="K8" s="348">
        <f>'X בתוך X רופאים'!$J8-(VLOOKUP('X בתוך X רופאים'!$J8,$K$64:$N$67,2)*'X בתוך X רופאים'!$J8)</f>
        <v>9517.76</v>
      </c>
      <c r="L8" s="424">
        <f t="shared" ca="1" si="0"/>
        <v>526.31578947368428</v>
      </c>
      <c r="M8" s="318" cm="1">
        <f t="array" aca="1" ref="M8" ca="1">_xlfn.XLOOKUP(O8,'רופאים נתוני עזר'!$A$6:$A$9,_xlfn.XLOOKUP(H8,'רופאים נתוני עזר'!$B$5:$K$5,'רופאים נתוני עזר'!$B$6:$K$9),,-1)</f>
        <v>2000</v>
      </c>
      <c r="N8" s="348">
        <f>'X בתוך X רופאים'!$K8/$T$5</f>
        <v>2379.44</v>
      </c>
      <c r="O8">
        <f t="shared" ca="1" si="1"/>
        <v>58</v>
      </c>
      <c r="T8" t="b">
        <f>AND(OR(I2=$T$3,I2=$T$4),YEAR(D2)&gt;=$T$1,YEAR(D2)&lt;=$T$2,K2/$T$5&gt;$T$6)</f>
        <v>0</v>
      </c>
      <c r="W8" s="320"/>
      <c r="AA8" s="355"/>
    </row>
    <row r="9" spans="1:27" x14ac:dyDescent="0.25">
      <c r="A9" s="351">
        <v>12507</v>
      </c>
      <c r="B9" s="352" t="s">
        <v>410</v>
      </c>
      <c r="C9" s="352" t="s">
        <v>424</v>
      </c>
      <c r="D9" s="353">
        <v>24800</v>
      </c>
      <c r="E9" s="352">
        <v>3</v>
      </c>
      <c r="F9" s="352">
        <v>53299</v>
      </c>
      <c r="G9" s="354">
        <v>22842</v>
      </c>
      <c r="H9" s="354" t="s">
        <v>245</v>
      </c>
      <c r="I9" s="352" t="str">
        <f>VLOOKUP('X בתוך X רופאים'!$E9,[2]התמחויות!$A$2:$B$16,2,0)</f>
        <v>הרדמה</v>
      </c>
      <c r="J9" s="354">
        <f>'X בתוך X רופאים'!$G9*(1+$A$67)</f>
        <v>25583.040000000001</v>
      </c>
      <c r="K9" s="354">
        <f>'X בתוך X רופאים'!$J9-(VLOOKUP('X בתוך X רופאים'!$J9,$K$64:$N$67,2)*'X בתוך X רופאים'!$J9)</f>
        <v>25583.040000000001</v>
      </c>
      <c r="L9" s="424">
        <f t="shared" ca="1" si="0"/>
        <v>552.63157894736844</v>
      </c>
      <c r="M9" s="318" cm="1">
        <f t="array" aca="1" ref="M9" ca="1">_xlfn.XLOOKUP(O9,'רופאים נתוני עזר'!$A$6:$A$9,_xlfn.XLOOKUP(H9,'רופאים נתוני עזר'!$B$5:$K$5,'רופאים נתוני עזר'!$B$6:$K$9),,-1)</f>
        <v>2100</v>
      </c>
      <c r="N9" s="354">
        <f>'X בתוך X רופאים'!$K9/$T$5</f>
        <v>6395.76</v>
      </c>
      <c r="O9">
        <f t="shared" ca="1" si="1"/>
        <v>59</v>
      </c>
      <c r="W9" s="320"/>
      <c r="AA9" s="355"/>
    </row>
    <row r="10" spans="1:27" x14ac:dyDescent="0.25">
      <c r="A10" s="345">
        <v>12508</v>
      </c>
      <c r="B10" s="346" t="s">
        <v>425</v>
      </c>
      <c r="C10" s="346" t="s">
        <v>426</v>
      </c>
      <c r="D10" s="347">
        <v>25915</v>
      </c>
      <c r="E10" s="346">
        <v>7</v>
      </c>
      <c r="F10" s="346">
        <v>86997</v>
      </c>
      <c r="G10" s="348">
        <v>9985</v>
      </c>
      <c r="H10" s="348" t="s">
        <v>325</v>
      </c>
      <c r="I10" s="346" t="str">
        <f>VLOOKUP('X בתוך X רופאים'!$E10,[2]התמחויות!$A$2:$B$16,2,0)</f>
        <v>רפואת המשפחה</v>
      </c>
      <c r="J10" s="348">
        <f>'X בתוך X רופאים'!$G10*(1+$A$67)</f>
        <v>11183.2</v>
      </c>
      <c r="K10" s="348">
        <f>'X בתוך X רופאים'!$J10-(VLOOKUP('X בתוך X רופאים'!$J10,$K$64:$N$67,2)*'X בתוך X רופאים'!$J10)</f>
        <v>11183.2</v>
      </c>
      <c r="L10" s="424">
        <f t="shared" ca="1" si="0"/>
        <v>578.94736842105272</v>
      </c>
      <c r="M10" s="318" cm="1">
        <f t="array" aca="1" ref="M10" ca="1">_xlfn.XLOOKUP(O10,'רופאים נתוני עזר'!$A$6:$A$9,_xlfn.XLOOKUP(H10,'רופאים נתוני עזר'!$B$5:$K$5,'רופאים נתוני עזר'!$B$6:$K$9),,-1)</f>
        <v>2200</v>
      </c>
      <c r="N10" s="348">
        <f>'X בתוך X רופאים'!$K10/$T$5</f>
        <v>2795.8</v>
      </c>
      <c r="O10">
        <f t="shared" ca="1" si="1"/>
        <v>56</v>
      </c>
      <c r="S10" t="s">
        <v>560</v>
      </c>
      <c r="T10">
        <v>3.8</v>
      </c>
      <c r="W10" s="320"/>
      <c r="AA10" s="355"/>
    </row>
    <row r="11" spans="1:27" x14ac:dyDescent="0.25">
      <c r="A11" s="351">
        <v>12509</v>
      </c>
      <c r="B11" s="352" t="s">
        <v>427</v>
      </c>
      <c r="C11" s="352" t="s">
        <v>428</v>
      </c>
      <c r="D11" s="353">
        <v>35890</v>
      </c>
      <c r="E11" s="352">
        <v>3</v>
      </c>
      <c r="F11" s="352">
        <v>17406</v>
      </c>
      <c r="G11" s="354">
        <v>8280</v>
      </c>
      <c r="H11" s="354" t="s">
        <v>325</v>
      </c>
      <c r="I11" s="352" t="str">
        <f>VLOOKUP('X בתוך X רופאים'!$E11,[2]התמחויות!$A$2:$B$16,2,0)</f>
        <v>הרדמה</v>
      </c>
      <c r="J11" s="354">
        <f>'X בתוך X רופאים'!$G11*(1+$A$67)</f>
        <v>9273.6</v>
      </c>
      <c r="K11" s="354">
        <f>'X בתוך X רופאים'!$J11-(VLOOKUP('X בתוך X רופאים'!$J11,$K$64:$N$67,2)*'X בתוך X רופאים'!$J11)</f>
        <v>9273.6</v>
      </c>
      <c r="L11" s="424">
        <f t="shared" ca="1" si="0"/>
        <v>244.73684210526318</v>
      </c>
      <c r="M11" s="318" cm="1">
        <f t="array" aca="1" ref="M11" ca="1">_xlfn.XLOOKUP(O11,'רופאים נתוני עזר'!$A$6:$A$9,_xlfn.XLOOKUP(H11,'רופאים נתוני עזר'!$B$5:$K$5,'רופאים נתוני עזר'!$B$6:$K$9),,-1)</f>
        <v>930</v>
      </c>
      <c r="N11" s="354">
        <f>'X בתוך X רופאים'!$K11/$T$5</f>
        <v>2318.4</v>
      </c>
      <c r="O11">
        <f t="shared" ca="1" si="1"/>
        <v>28</v>
      </c>
      <c r="W11" s="320"/>
      <c r="AA11" s="355"/>
    </row>
    <row r="12" spans="1:27" x14ac:dyDescent="0.25">
      <c r="A12" s="345">
        <v>12510</v>
      </c>
      <c r="B12" s="346" t="s">
        <v>429</v>
      </c>
      <c r="C12" s="346" t="s">
        <v>430</v>
      </c>
      <c r="D12" s="347">
        <v>30484</v>
      </c>
      <c r="E12" s="346">
        <v>8</v>
      </c>
      <c r="F12" s="346">
        <v>68779</v>
      </c>
      <c r="G12" s="348">
        <v>18259</v>
      </c>
      <c r="H12" s="348" t="s">
        <v>407</v>
      </c>
      <c r="I12" s="346" t="str">
        <f>VLOOKUP('X בתוך X רופאים'!$E12,[2]התמחויות!$A$2:$B$16,2,0)</f>
        <v>כירורגיה אורתופדית</v>
      </c>
      <c r="J12" s="348">
        <f>'X בתוך X רופאים'!$G12*(1+$A$67)</f>
        <v>20450.080000000002</v>
      </c>
      <c r="K12" s="348">
        <f>'X בתוך X רופאים'!$J12-(VLOOKUP('X בתוך X רופאים'!$J12,$K$64:$N$67,2)*'X בתוך X רופאים'!$J12)</f>
        <v>20450.080000000002</v>
      </c>
      <c r="L12" s="424">
        <f t="shared" ca="1" si="0"/>
        <v>605.26315789473688</v>
      </c>
      <c r="M12" s="318" cm="1">
        <f t="array" aca="1" ref="M12" ca="1">_xlfn.XLOOKUP(O12,'רופאים נתוני עזר'!$A$6:$A$9,_xlfn.XLOOKUP(H12,'רופאים נתוני עזר'!$B$5:$K$5,'רופאים נתוני עזר'!$B$6:$K$9),,-1)</f>
        <v>2300</v>
      </c>
      <c r="N12" s="348">
        <f>'X בתוך X רופאים'!$K12/$T$5</f>
        <v>5112.5200000000004</v>
      </c>
      <c r="O12">
        <f t="shared" ca="1" si="1"/>
        <v>43</v>
      </c>
      <c r="AA12" s="355"/>
    </row>
    <row r="13" spans="1:27" x14ac:dyDescent="0.25">
      <c r="A13" s="351">
        <v>12511</v>
      </c>
      <c r="B13" s="352" t="s">
        <v>431</v>
      </c>
      <c r="C13" s="352" t="s">
        <v>432</v>
      </c>
      <c r="D13" s="353">
        <v>36697</v>
      </c>
      <c r="E13" s="352">
        <v>3</v>
      </c>
      <c r="F13" s="352">
        <v>39054</v>
      </c>
      <c r="G13" s="354">
        <v>18853</v>
      </c>
      <c r="H13" s="354" t="s">
        <v>413</v>
      </c>
      <c r="I13" s="352" t="str">
        <f>VLOOKUP('X בתוך X רופאים'!$E13,[2]התמחויות!$A$2:$B$16,2,0)</f>
        <v>הרדמה</v>
      </c>
      <c r="J13" s="354">
        <f>'X בתוך X רופאים'!$G13*(1+$A$67)</f>
        <v>21115.360000000001</v>
      </c>
      <c r="K13" s="354">
        <f>'X בתוך X רופאים'!$J13-(VLOOKUP('X בתוך X רופאים'!$J13,$K$64:$N$67,2)*'X בתוך X רופאים'!$J13)</f>
        <v>21115.360000000001</v>
      </c>
      <c r="L13" s="424">
        <f t="shared" ca="1" si="0"/>
        <v>228.94736842105263</v>
      </c>
      <c r="M13" s="318" cm="1">
        <f t="array" aca="1" ref="M13" ca="1">_xlfn.XLOOKUP(O13,'רופאים נתוני עזר'!$A$6:$A$9,_xlfn.XLOOKUP(H13,'רופאים נתוני עזר'!$B$5:$K$5,'רופאים נתוני עזר'!$B$6:$K$9),,-1)</f>
        <v>870</v>
      </c>
      <c r="N13" s="354">
        <f>'X בתוך X רופאים'!$K13/$T$5</f>
        <v>5278.84</v>
      </c>
      <c r="O13">
        <f t="shared" ca="1" si="1"/>
        <v>26</v>
      </c>
      <c r="AA13" s="355"/>
    </row>
    <row r="14" spans="1:27" x14ac:dyDescent="0.25">
      <c r="A14" s="345">
        <v>12512</v>
      </c>
      <c r="B14" s="346" t="s">
        <v>433</v>
      </c>
      <c r="C14" s="346" t="s">
        <v>434</v>
      </c>
      <c r="D14" s="347">
        <v>34290</v>
      </c>
      <c r="E14" s="346">
        <v>8</v>
      </c>
      <c r="F14" s="346">
        <v>104266</v>
      </c>
      <c r="G14" s="348">
        <v>11928</v>
      </c>
      <c r="H14" s="348" t="s">
        <v>245</v>
      </c>
      <c r="I14" s="346" t="str">
        <f>VLOOKUP('X בתוך X רופאים'!$E14,[2]התמחויות!$A$2:$B$16,2,0)</f>
        <v>כירורגיה אורתופדית</v>
      </c>
      <c r="J14" s="348">
        <f>'X בתוך X רופאים'!$G14*(1+$A$67)</f>
        <v>13359.36</v>
      </c>
      <c r="K14" s="348">
        <f>'X בתוך X רופאים'!$J14-(VLOOKUP('X בתוך X רופאים'!$J14,$K$64:$N$67,2)*'X בתוך X רופאים'!$J14)</f>
        <v>13359.36</v>
      </c>
      <c r="L14" s="424">
        <f t="shared" ca="1" si="0"/>
        <v>342.10526315789474</v>
      </c>
      <c r="M14" s="318" cm="1">
        <f t="array" aca="1" ref="M14" ca="1">_xlfn.XLOOKUP(O14,'רופאים נתוני עזר'!$A$6:$A$9,_xlfn.XLOOKUP(H14,'רופאים נתוני עזר'!$B$5:$K$5,'רופאים נתוני עזר'!$B$6:$K$9),,-1)</f>
        <v>1300</v>
      </c>
      <c r="N14" s="348">
        <f>'X בתוך X רופאים'!$K14/$T$5</f>
        <v>3339.84</v>
      </c>
      <c r="O14">
        <f t="shared" ca="1" si="1"/>
        <v>33</v>
      </c>
      <c r="U14" s="379"/>
      <c r="V14" s="379"/>
      <c r="W14" s="379"/>
      <c r="X14" s="379"/>
      <c r="AA14" s="355"/>
    </row>
    <row r="15" spans="1:27" x14ac:dyDescent="0.25">
      <c r="A15" s="351">
        <v>12513</v>
      </c>
      <c r="B15" s="352" t="s">
        <v>436</v>
      </c>
      <c r="C15" s="352" t="s">
        <v>437</v>
      </c>
      <c r="D15" s="353">
        <v>32952</v>
      </c>
      <c r="E15" s="352">
        <v>7</v>
      </c>
      <c r="F15" s="352">
        <v>63208</v>
      </c>
      <c r="G15" s="354">
        <v>12546</v>
      </c>
      <c r="H15" s="354" t="s">
        <v>438</v>
      </c>
      <c r="I15" s="352" t="str">
        <f>VLOOKUP('X בתוך X רופאים'!$E15,[2]התמחויות!$A$2:$B$16,2,0)</f>
        <v>רפואת המשפחה</v>
      </c>
      <c r="J15" s="354">
        <f>'X בתוך X רופאים'!$G15*(1+$A$67)</f>
        <v>14051.52</v>
      </c>
      <c r="K15" s="354">
        <f>'X בתוך X רופאים'!$J15-(VLOOKUP('X בתוך X רופאים'!$J15,$K$64:$N$67,2)*'X בתוך X רופאים'!$J15)</f>
        <v>14051.52</v>
      </c>
      <c r="L15" s="424">
        <f t="shared" ca="1" si="0"/>
        <v>381.5789473684211</v>
      </c>
      <c r="M15" s="318" cm="1">
        <f t="array" aca="1" ref="M15" ca="1">_xlfn.XLOOKUP(O15,'רופאים נתוני עזר'!$A$6:$A$9,_xlfn.XLOOKUP(H15,'רופאים נתוני עזר'!$B$5:$K$5,'רופאים נתוני עזר'!$B$6:$K$9),,-1)</f>
        <v>1450</v>
      </c>
      <c r="N15" s="354">
        <f>'X בתוך X רופאים'!$K15/$T$5</f>
        <v>3512.88</v>
      </c>
      <c r="O15">
        <f t="shared" ca="1" si="1"/>
        <v>36</v>
      </c>
      <c r="U15" s="380"/>
      <c r="AA15" s="355"/>
    </row>
    <row r="16" spans="1:27" x14ac:dyDescent="0.25">
      <c r="A16" s="345">
        <v>12514</v>
      </c>
      <c r="B16" s="346" t="s">
        <v>443</v>
      </c>
      <c r="C16" s="346" t="s">
        <v>444</v>
      </c>
      <c r="D16" s="347">
        <v>24666</v>
      </c>
      <c r="E16" s="346">
        <v>9</v>
      </c>
      <c r="F16" s="346">
        <v>367311</v>
      </c>
      <c r="G16" s="348">
        <v>16239</v>
      </c>
      <c r="H16" s="348" t="s">
        <v>416</v>
      </c>
      <c r="I16" s="346" t="str">
        <f>VLOOKUP('X בתוך X רופאים'!$E16,[2]התמחויות!$A$2:$B$16,2,0)</f>
        <v>רפואה פנימית</v>
      </c>
      <c r="J16" s="348">
        <f>'X בתוך X רופאים'!$G16*(1+$A$67)</f>
        <v>18187.68</v>
      </c>
      <c r="K16" s="348">
        <f>'X בתוך X רופאים'!$J16-(VLOOKUP('X בתוך X רופאים'!$J16,$K$64:$N$67,2)*'X בתוך X רופאים'!$J16)</f>
        <v>18187.68</v>
      </c>
      <c r="L16" s="424">
        <f t="shared" ca="1" si="0"/>
        <v>447.36842105263162</v>
      </c>
      <c r="M16" s="318" cm="1">
        <f t="array" aca="1" ref="M16" ca="1">_xlfn.XLOOKUP(O16,'רופאים נתוני עזר'!$A$6:$A$9,_xlfn.XLOOKUP(H16,'רופאים נתוני עזר'!$B$5:$K$5,'רופאים נתוני עזר'!$B$6:$K$9),,-1)</f>
        <v>1700</v>
      </c>
      <c r="N16" s="348">
        <f>'X בתוך X רופאים'!$K16/$T$5</f>
        <v>4546.92</v>
      </c>
      <c r="O16">
        <f t="shared" ca="1" si="1"/>
        <v>59</v>
      </c>
      <c r="U16" s="380"/>
      <c r="AA16" s="355"/>
    </row>
    <row r="17" spans="1:27" x14ac:dyDescent="0.25">
      <c r="A17" s="351">
        <v>12515</v>
      </c>
      <c r="B17" s="352" t="s">
        <v>447</v>
      </c>
      <c r="C17" s="352" t="s">
        <v>448</v>
      </c>
      <c r="D17" s="353">
        <v>38138</v>
      </c>
      <c r="E17" s="352">
        <v>8</v>
      </c>
      <c r="F17" s="352">
        <v>122992</v>
      </c>
      <c r="G17" s="354">
        <v>17958</v>
      </c>
      <c r="H17" s="354" t="s">
        <v>67</v>
      </c>
      <c r="I17" s="352" t="str">
        <f>VLOOKUP('X בתוך X רופאים'!$E17,[2]התמחויות!$A$2:$B$16,2,0)</f>
        <v>כירורגיה אורתופדית</v>
      </c>
      <c r="J17" s="354">
        <f>'X בתוך X רופאים'!$G17*(1+$A$67)</f>
        <v>20112.960000000003</v>
      </c>
      <c r="K17" s="354">
        <f>'X בתוך X רופאים'!$J17-(VLOOKUP('X בתוך X רופאים'!$J17,$K$64:$N$67,2)*'X בתוך X רופאים'!$J17)</f>
        <v>20112.960000000003</v>
      </c>
      <c r="L17" s="424">
        <f t="shared" ca="1" si="0"/>
        <v>236.84210526315792</v>
      </c>
      <c r="M17" s="318" cm="1">
        <f t="array" aca="1" ref="M17" ca="1">_xlfn.XLOOKUP(O17,'רופאים נתוני עזר'!$A$6:$A$9,_xlfn.XLOOKUP(H17,'רופאים נתוני עזר'!$B$5:$K$5,'רופאים נתוני עזר'!$B$6:$K$9),,-1)</f>
        <v>900</v>
      </c>
      <c r="N17" s="354">
        <f>'X בתוך X רופאים'!$K17/$T$5</f>
        <v>5028.2400000000007</v>
      </c>
      <c r="O17">
        <f t="shared" ca="1" si="1"/>
        <v>22</v>
      </c>
      <c r="AA17" s="355"/>
    </row>
    <row r="18" spans="1:27" x14ac:dyDescent="0.25">
      <c r="A18" s="345">
        <v>12516</v>
      </c>
      <c r="B18" s="346" t="s">
        <v>449</v>
      </c>
      <c r="C18" s="346" t="s">
        <v>450</v>
      </c>
      <c r="D18" s="347">
        <v>25781</v>
      </c>
      <c r="E18" s="346">
        <v>9</v>
      </c>
      <c r="F18" s="346">
        <v>113386</v>
      </c>
      <c r="G18" s="348">
        <v>10737</v>
      </c>
      <c r="H18" s="348" t="s">
        <v>325</v>
      </c>
      <c r="I18" s="346" t="str">
        <f>VLOOKUP('X בתוך X רופאים'!$E18,[2]התמחויות!$A$2:$B$16,2,0)</f>
        <v>רפואה פנימית</v>
      </c>
      <c r="J18" s="348">
        <f>'X בתוך X רופאים'!$G18*(1+$A$67)</f>
        <v>12025.44</v>
      </c>
      <c r="K18" s="348">
        <f>'X בתוך X רופאים'!$J18-(VLOOKUP('X בתוך X רופאים'!$J18,$K$64:$N$67,2)*'X בתוך X רופאים'!$J18)</f>
        <v>12025.44</v>
      </c>
      <c r="L18" s="424">
        <f t="shared" ca="1" si="0"/>
        <v>578.94736842105272</v>
      </c>
      <c r="M18" s="318" cm="1">
        <f t="array" aca="1" ref="M18" ca="1">_xlfn.XLOOKUP(O18,'רופאים נתוני עזר'!$A$6:$A$9,_xlfn.XLOOKUP(H18,'רופאים נתוני עזר'!$B$5:$K$5,'רופאים נתוני עזר'!$B$6:$K$9),,-1)</f>
        <v>2200</v>
      </c>
      <c r="N18" s="348">
        <f>'X בתוך X רופאים'!$K18/$T$5</f>
        <v>3006.36</v>
      </c>
      <c r="O18">
        <f t="shared" ca="1" si="1"/>
        <v>56</v>
      </c>
      <c r="AA18" s="355"/>
    </row>
    <row r="19" spans="1:27" x14ac:dyDescent="0.25">
      <c r="A19" s="351">
        <v>12517</v>
      </c>
      <c r="B19" s="352" t="s">
        <v>451</v>
      </c>
      <c r="C19" s="352" t="s">
        <v>452</v>
      </c>
      <c r="D19" s="353">
        <v>24568</v>
      </c>
      <c r="E19" s="352">
        <v>10</v>
      </c>
      <c r="F19" s="352">
        <v>42794</v>
      </c>
      <c r="G19" s="354">
        <v>10807</v>
      </c>
      <c r="H19" s="354" t="s">
        <v>325</v>
      </c>
      <c r="I19" s="352" t="str">
        <f>VLOOKUP('X בתוך X רופאים'!$E19,[2]התמחויות!$A$2:$B$16,2,0)</f>
        <v>יילוד וגינקולוגיה</v>
      </c>
      <c r="J19" s="354">
        <f>'X בתוך X רופאים'!$G19*(1+$A$67)</f>
        <v>12103.840000000002</v>
      </c>
      <c r="K19" s="354">
        <f>'X בתוך X רופאים'!$J19-(VLOOKUP('X בתוך X רופאים'!$J19,$K$64:$N$67,2)*'X בתוך X רופאים'!$J19)</f>
        <v>12103.840000000002</v>
      </c>
      <c r="L19" s="424">
        <f t="shared" ca="1" si="0"/>
        <v>578.94736842105272</v>
      </c>
      <c r="M19" s="318" cm="1">
        <f t="array" aca="1" ref="M19" ca="1">_xlfn.XLOOKUP(O19,'רופאים נתוני עזר'!$A$6:$A$9,_xlfn.XLOOKUP(H19,'רופאים נתוני עזר'!$B$5:$K$5,'רופאים נתוני עזר'!$B$6:$K$9),,-1)</f>
        <v>2200</v>
      </c>
      <c r="N19" s="354">
        <f>'X בתוך X רופאים'!$K19/$T$5</f>
        <v>3025.9600000000005</v>
      </c>
      <c r="O19">
        <f t="shared" ca="1" si="1"/>
        <v>59</v>
      </c>
      <c r="AA19" s="355"/>
    </row>
    <row r="20" spans="1:27" x14ac:dyDescent="0.25">
      <c r="A20" s="345">
        <v>12518</v>
      </c>
      <c r="B20" s="346" t="s">
        <v>453</v>
      </c>
      <c r="C20" s="346" t="s">
        <v>454</v>
      </c>
      <c r="D20" s="347">
        <v>28163</v>
      </c>
      <c r="E20" s="346">
        <v>10</v>
      </c>
      <c r="F20" s="346">
        <v>54704</v>
      </c>
      <c r="G20" s="348">
        <v>15399</v>
      </c>
      <c r="H20" s="348" t="s">
        <v>407</v>
      </c>
      <c r="I20" s="346" t="str">
        <f>VLOOKUP('X בתוך X רופאים'!$E20,[2]התמחויות!$A$2:$B$16,2,0)</f>
        <v>יילוד וגינקולוגיה</v>
      </c>
      <c r="J20" s="348">
        <f>'X בתוך X רופאים'!$G20*(1+$A$67)</f>
        <v>17246.88</v>
      </c>
      <c r="K20" s="348">
        <f>'X בתוך X רופאים'!$J20-(VLOOKUP('X בתוך X רופאים'!$J20,$K$64:$N$67,2)*'X בתוך X רופאים'!$J20)</f>
        <v>17246.88</v>
      </c>
      <c r="L20" s="424">
        <f t="shared" ca="1" si="0"/>
        <v>605.26315789473688</v>
      </c>
      <c r="M20" s="318" cm="1">
        <f t="array" aca="1" ref="M20" ca="1">_xlfn.XLOOKUP(O20,'רופאים נתוני עזר'!$A$6:$A$9,_xlfn.XLOOKUP(H20,'רופאים נתוני עזר'!$B$5:$K$5,'רופאים נתוני עזר'!$B$6:$K$9),,-1)</f>
        <v>2300</v>
      </c>
      <c r="N20" s="348">
        <f>'X בתוך X רופאים'!$K20/$T$5</f>
        <v>4311.72</v>
      </c>
      <c r="O20">
        <f t="shared" ca="1" si="1"/>
        <v>49</v>
      </c>
      <c r="AA20" s="355"/>
    </row>
    <row r="21" spans="1:27" x14ac:dyDescent="0.25">
      <c r="A21" s="351">
        <v>12519</v>
      </c>
      <c r="B21" s="352" t="s">
        <v>443</v>
      </c>
      <c r="C21" s="352" t="s">
        <v>455</v>
      </c>
      <c r="D21" s="353">
        <v>24826</v>
      </c>
      <c r="E21" s="352">
        <v>9</v>
      </c>
      <c r="F21" s="352">
        <v>78257</v>
      </c>
      <c r="G21" s="354">
        <v>12845</v>
      </c>
      <c r="H21" s="354" t="s">
        <v>413</v>
      </c>
      <c r="I21" s="352" t="str">
        <f>VLOOKUP('X בתוך X רופאים'!$E21,[2]התמחויות!$A$2:$B$16,2,0)</f>
        <v>רפואה פנימית</v>
      </c>
      <c r="J21" s="354">
        <f>'X בתוך X רופאים'!$G21*(1+$A$67)</f>
        <v>14386.400000000001</v>
      </c>
      <c r="K21" s="354">
        <f>'X בתוך X רופאים'!$J21-(VLOOKUP('X בתוך X רופאים'!$J21,$K$64:$N$67,2)*'X בתוך X רופאים'!$J21)</f>
        <v>14386.400000000001</v>
      </c>
      <c r="L21" s="424">
        <f t="shared" ca="1" si="0"/>
        <v>421.0526315789474</v>
      </c>
      <c r="M21" s="318" cm="1">
        <f t="array" aca="1" ref="M21" ca="1">_xlfn.XLOOKUP(O21,'רופאים נתוני עזר'!$A$6:$A$9,_xlfn.XLOOKUP(H21,'רופאים נתוני עזר'!$B$5:$K$5,'רופאים נתוני עזר'!$B$6:$K$9),,-1)</f>
        <v>1600</v>
      </c>
      <c r="N21" s="354">
        <f>'X בתוך X רופאים'!$K21/$T$5</f>
        <v>3596.6000000000004</v>
      </c>
      <c r="O21">
        <f t="shared" ca="1" si="1"/>
        <v>59</v>
      </c>
      <c r="AA21" s="355"/>
    </row>
    <row r="22" spans="1:27" x14ac:dyDescent="0.25">
      <c r="A22" s="345">
        <v>12520</v>
      </c>
      <c r="B22" s="346" t="s">
        <v>456</v>
      </c>
      <c r="C22" s="346" t="s">
        <v>455</v>
      </c>
      <c r="D22" s="347">
        <v>28333</v>
      </c>
      <c r="E22" s="346">
        <v>11</v>
      </c>
      <c r="F22" s="346">
        <v>397798</v>
      </c>
      <c r="G22" s="348">
        <v>12838</v>
      </c>
      <c r="H22" s="348" t="s">
        <v>245</v>
      </c>
      <c r="I22" s="346" t="str">
        <f>VLOOKUP('X בתוך X רופאים'!$E22,[2]התמחויות!$A$2:$B$16,2,0)</f>
        <v>רפואה תעסוקתית</v>
      </c>
      <c r="J22" s="348">
        <f>'X בתוך X רופאים'!$G22*(1+$A$67)</f>
        <v>14378.560000000001</v>
      </c>
      <c r="K22" s="348">
        <f>'X בתוך X רופאים'!$J22-(VLOOKUP('X בתוך X רופאים'!$J22,$K$64:$N$67,2)*'X בתוך X רופאים'!$J22)</f>
        <v>14378.560000000001</v>
      </c>
      <c r="L22" s="424">
        <f t="shared" ca="1" si="0"/>
        <v>552.63157894736844</v>
      </c>
      <c r="M22" s="318" cm="1">
        <f t="array" aca="1" ref="M22" ca="1">_xlfn.XLOOKUP(O22,'רופאים נתוני עזר'!$A$6:$A$9,_xlfn.XLOOKUP(H22,'רופאים נתוני עזר'!$B$5:$K$5,'רופאים נתוני עזר'!$B$6:$K$9),,-1)</f>
        <v>2100</v>
      </c>
      <c r="N22" s="348">
        <f>'X בתוך X רופאים'!$K22/$T$5</f>
        <v>3594.6400000000003</v>
      </c>
      <c r="O22">
        <f t="shared" ca="1" si="1"/>
        <v>49</v>
      </c>
      <c r="AA22" s="355"/>
    </row>
    <row r="23" spans="1:27" x14ac:dyDescent="0.25">
      <c r="A23" s="351">
        <v>12521</v>
      </c>
      <c r="B23" s="352" t="s">
        <v>457</v>
      </c>
      <c r="C23" s="352" t="s">
        <v>458</v>
      </c>
      <c r="D23" s="353">
        <v>24464</v>
      </c>
      <c r="E23" s="352">
        <v>12</v>
      </c>
      <c r="F23" s="352">
        <v>38296</v>
      </c>
      <c r="G23" s="354">
        <v>20181</v>
      </c>
      <c r="H23" s="354" t="s">
        <v>438</v>
      </c>
      <c r="I23" s="352" t="str">
        <f>VLOOKUP('X בתוך X רופאים'!$E23,[2]התמחויות!$A$2:$B$16,2,0)</f>
        <v>דרמטולוגיה-מחלות עור ומין</v>
      </c>
      <c r="J23" s="354">
        <f>'X בתוך X רופאים'!$G23*(1+$A$67)</f>
        <v>22602.720000000001</v>
      </c>
      <c r="K23" s="354">
        <f>'X בתוך X רופאים'!$J23-(VLOOKUP('X בתוך X רופאים'!$J23,$K$64:$N$67,2)*'X בתוך X רופאים'!$J23)</f>
        <v>22602.720000000001</v>
      </c>
      <c r="L23" s="424">
        <f t="shared" ca="1" si="0"/>
        <v>631.57894736842104</v>
      </c>
      <c r="M23" s="318" cm="1">
        <f t="array" aca="1" ref="M23" ca="1">_xlfn.XLOOKUP(O23,'רופאים נתוני עזר'!$A$6:$A$9,_xlfn.XLOOKUP(H23,'רופאים נתוני עזר'!$B$5:$K$5,'רופאים נתוני עזר'!$B$6:$K$9),,-1)</f>
        <v>2400</v>
      </c>
      <c r="N23" s="354">
        <f>'X בתוך X רופאים'!$K23/$T$5</f>
        <v>5650.68</v>
      </c>
      <c r="O23">
        <f t="shared" ca="1" si="1"/>
        <v>60</v>
      </c>
      <c r="AA23" s="355"/>
    </row>
    <row r="24" spans="1:27" x14ac:dyDescent="0.25">
      <c r="A24" s="345">
        <v>12522</v>
      </c>
      <c r="B24" s="346" t="s">
        <v>459</v>
      </c>
      <c r="C24" s="346" t="s">
        <v>460</v>
      </c>
      <c r="D24" s="347">
        <v>25430</v>
      </c>
      <c r="E24" s="346">
        <v>9</v>
      </c>
      <c r="F24" s="346">
        <v>152905</v>
      </c>
      <c r="G24" s="348">
        <v>20234</v>
      </c>
      <c r="H24" s="348" t="s">
        <v>416</v>
      </c>
      <c r="I24" s="346" t="str">
        <f>VLOOKUP('X בתוך X רופאים'!$E24,[2]התמחויות!$A$2:$B$16,2,0)</f>
        <v>רפואה פנימית</v>
      </c>
      <c r="J24" s="348">
        <f>'X בתוך X רופאים'!$G24*(1+$A$67)</f>
        <v>22662.080000000002</v>
      </c>
      <c r="K24" s="348">
        <f>'X בתוך X רופאים'!$J24-(VLOOKUP('X בתוך X רופאים'!$J24,$K$64:$N$67,2)*'X בתוך X רופאים'!$J24)</f>
        <v>22662.080000000002</v>
      </c>
      <c r="L24" s="424">
        <f t="shared" ca="1" si="0"/>
        <v>447.36842105263162</v>
      </c>
      <c r="M24" s="318" cm="1">
        <f t="array" aca="1" ref="M24" ca="1">_xlfn.XLOOKUP(O24,'רופאים נתוני עזר'!$A$6:$A$9,_xlfn.XLOOKUP(H24,'רופאים נתוני עזר'!$B$5:$K$5,'רופאים נתוני עזר'!$B$6:$K$9),,-1)</f>
        <v>1700</v>
      </c>
      <c r="N24" s="348">
        <f>'X בתוך X רופאים'!$K24/$T$5</f>
        <v>5665.52</v>
      </c>
      <c r="O24">
        <f t="shared" ca="1" si="1"/>
        <v>57</v>
      </c>
      <c r="AA24" s="355"/>
    </row>
    <row r="25" spans="1:27" x14ac:dyDescent="0.25">
      <c r="A25" s="351">
        <v>12523</v>
      </c>
      <c r="B25" s="352" t="s">
        <v>461</v>
      </c>
      <c r="C25" s="352" t="s">
        <v>462</v>
      </c>
      <c r="D25" s="353">
        <v>37862</v>
      </c>
      <c r="E25" s="352">
        <v>9</v>
      </c>
      <c r="F25" s="352">
        <v>921168</v>
      </c>
      <c r="G25" s="354">
        <v>11772</v>
      </c>
      <c r="H25" s="354" t="s">
        <v>67</v>
      </c>
      <c r="I25" s="352" t="str">
        <f>VLOOKUP('X בתוך X רופאים'!$E25,[2]התמחויות!$A$2:$B$16,2,0)</f>
        <v>רפואה פנימית</v>
      </c>
      <c r="J25" s="354">
        <f>'X בתוך X רופאים'!$G25*(1+$A$67)</f>
        <v>13184.640000000001</v>
      </c>
      <c r="K25" s="354">
        <f>'X בתוך X רופאים'!$J25-(VLOOKUP('X בתוך X רופאים'!$J25,$K$64:$N$67,2)*'X בתוך X רופאים'!$J25)</f>
        <v>13184.640000000001</v>
      </c>
      <c r="L25" s="424">
        <f t="shared" ca="1" si="0"/>
        <v>236.84210526315792</v>
      </c>
      <c r="M25" s="318" cm="1">
        <f t="array" aca="1" ref="M25" ca="1">_xlfn.XLOOKUP(O25,'רופאים נתוני עזר'!$A$6:$A$9,_xlfn.XLOOKUP(H25,'רופאים נתוני עזר'!$B$5:$K$5,'רופאים נתוני עזר'!$B$6:$K$9),,-1)</f>
        <v>900</v>
      </c>
      <c r="N25" s="354">
        <f>'X בתוך X רופאים'!$K25/$T$5</f>
        <v>3296.1600000000003</v>
      </c>
      <c r="O25">
        <f t="shared" ca="1" si="1"/>
        <v>23</v>
      </c>
      <c r="AA25" s="355"/>
    </row>
    <row r="26" spans="1:27" x14ac:dyDescent="0.25">
      <c r="A26" s="345">
        <v>12524</v>
      </c>
      <c r="B26" s="346" t="s">
        <v>463</v>
      </c>
      <c r="C26" s="346" t="s">
        <v>464</v>
      </c>
      <c r="D26" s="347">
        <v>31033</v>
      </c>
      <c r="E26" s="346">
        <v>9</v>
      </c>
      <c r="F26" s="346">
        <v>1013312</v>
      </c>
      <c r="G26" s="348">
        <v>18903</v>
      </c>
      <c r="H26" s="348" t="s">
        <v>407</v>
      </c>
      <c r="I26" s="346" t="str">
        <f>VLOOKUP('X בתוך X רופאים'!$E26,[2]התמחויות!$A$2:$B$16,2,0)</f>
        <v>רפואה פנימית</v>
      </c>
      <c r="J26" s="348">
        <f>'X בתוך X רופאים'!$G26*(1+$A$67)</f>
        <v>21171.360000000001</v>
      </c>
      <c r="K26" s="348">
        <f>'X בתוך X רופאים'!$J26-(VLOOKUP('X בתוך X רופאים'!$J26,$K$64:$N$67,2)*'X בתוך X רופאים'!$J26)</f>
        <v>21171.360000000001</v>
      </c>
      <c r="L26" s="424">
        <f t="shared" ca="1" si="0"/>
        <v>605.26315789473688</v>
      </c>
      <c r="M26" s="318" cm="1">
        <f t="array" aca="1" ref="M26" ca="1">_xlfn.XLOOKUP(O26,'רופאים נתוני עזר'!$A$6:$A$9,_xlfn.XLOOKUP(H26,'רופאים נתוני עזר'!$B$5:$K$5,'רופאים נתוני עזר'!$B$6:$K$9),,-1)</f>
        <v>2300</v>
      </c>
      <c r="N26" s="348">
        <f>'X בתוך X רופאים'!$K26/$T$5</f>
        <v>5292.84</v>
      </c>
      <c r="O26">
        <f t="shared" ca="1" si="1"/>
        <v>42</v>
      </c>
      <c r="AA26" s="355"/>
    </row>
    <row r="27" spans="1:27" x14ac:dyDescent="0.25">
      <c r="A27" s="351">
        <v>12525</v>
      </c>
      <c r="B27" s="352" t="s">
        <v>465</v>
      </c>
      <c r="C27" s="352" t="s">
        <v>434</v>
      </c>
      <c r="D27" s="353">
        <v>36781</v>
      </c>
      <c r="E27" s="352">
        <v>13</v>
      </c>
      <c r="F27" s="352">
        <v>17019</v>
      </c>
      <c r="G27" s="354">
        <v>16936</v>
      </c>
      <c r="H27" s="354" t="s">
        <v>410</v>
      </c>
      <c r="I27" s="352" t="str">
        <f>VLOOKUP('X בתוך X רופאים'!$E27,[2]התמחויות!$A$2:$B$16,2,0)</f>
        <v>נוירוכירורגיה</v>
      </c>
      <c r="J27" s="354">
        <f>'X בתוך X רופאים'!$G27*(1+$A$67)</f>
        <v>18968.320000000003</v>
      </c>
      <c r="K27" s="354">
        <f>'X בתוך X רופאים'!$J27-(VLOOKUP('X בתוך X רופאים'!$J27,$K$64:$N$67,2)*'X בתוך X רופאים'!$J27)</f>
        <v>18968.320000000003</v>
      </c>
      <c r="L27" s="424">
        <f t="shared" ca="1" si="0"/>
        <v>226.31578947368422</v>
      </c>
      <c r="M27" s="318" cm="1">
        <f t="array" aca="1" ref="M27" ca="1">_xlfn.XLOOKUP(O27,'רופאים נתוני עזר'!$A$6:$A$9,_xlfn.XLOOKUP(H27,'רופאים נתוני עזר'!$B$5:$K$5,'רופאים נתוני עזר'!$B$6:$K$9),,-1)</f>
        <v>860</v>
      </c>
      <c r="N27" s="354">
        <f>'X בתוך X רופאים'!$K27/$T$5</f>
        <v>4742.0800000000008</v>
      </c>
      <c r="O27">
        <f t="shared" ca="1" si="1"/>
        <v>26</v>
      </c>
      <c r="AA27" s="355"/>
    </row>
    <row r="28" spans="1:27" x14ac:dyDescent="0.25">
      <c r="A28" s="345">
        <v>12526</v>
      </c>
      <c r="B28" s="346" t="s">
        <v>466</v>
      </c>
      <c r="C28" s="346" t="s">
        <v>424</v>
      </c>
      <c r="D28" s="347">
        <v>34335</v>
      </c>
      <c r="E28" s="346">
        <v>14</v>
      </c>
      <c r="F28" s="346">
        <v>73525</v>
      </c>
      <c r="G28" s="348">
        <v>16629</v>
      </c>
      <c r="H28" s="348" t="s">
        <v>413</v>
      </c>
      <c r="I28" s="346" t="str">
        <f>VLOOKUP('X בתוך X רופאים'!$E28,[2]התמחויות!$A$2:$B$16,2,0)</f>
        <v>כירורגיה אורולוגית</v>
      </c>
      <c r="J28" s="348">
        <f>'X בתוך X רופאים'!$G28*(1+$A$67)</f>
        <v>18624.480000000003</v>
      </c>
      <c r="K28" s="348">
        <f>'X בתוך X רופאים'!$J28-(VLOOKUP('X בתוך X רופאים'!$J28,$K$64:$N$67,2)*'X בתוך X רופאים'!$J28)</f>
        <v>18624.480000000003</v>
      </c>
      <c r="L28" s="424">
        <f t="shared" ca="1" si="0"/>
        <v>276.31578947368422</v>
      </c>
      <c r="M28" s="318" cm="1">
        <f t="array" aca="1" ref="M28" ca="1">_xlfn.XLOOKUP(O28,'רופאים נתוני עזר'!$A$6:$A$9,_xlfn.XLOOKUP(H28,'רופאים נתוני עזר'!$B$5:$K$5,'רופאים נתוני עזר'!$B$6:$K$9),,-1)</f>
        <v>1050</v>
      </c>
      <c r="N28" s="348">
        <f>'X בתוך X רופאים'!$K28/$T$5</f>
        <v>4656.1200000000008</v>
      </c>
      <c r="O28">
        <f t="shared" ca="1" si="1"/>
        <v>32</v>
      </c>
      <c r="AA28" s="355"/>
    </row>
    <row r="29" spans="1:27" x14ac:dyDescent="0.25">
      <c r="A29" s="351">
        <v>12527</v>
      </c>
      <c r="B29" s="352" t="s">
        <v>467</v>
      </c>
      <c r="C29" s="352" t="s">
        <v>468</v>
      </c>
      <c r="D29" s="353">
        <v>40273</v>
      </c>
      <c r="E29" s="352">
        <v>2</v>
      </c>
      <c r="F29" s="352">
        <v>17857</v>
      </c>
      <c r="G29" s="354">
        <v>21136</v>
      </c>
      <c r="H29" s="354" t="s">
        <v>416</v>
      </c>
      <c r="I29" s="352" t="str">
        <f>VLOOKUP('X בתוך X רופאים'!$E29,[2]התמחויות!$A$2:$B$16,2,0)</f>
        <v>כירורגיה כללית</v>
      </c>
      <c r="J29" s="354">
        <f>'X בתוך X רופאים'!$G29*(1+$A$67)</f>
        <v>23672.320000000003</v>
      </c>
      <c r="K29" s="354">
        <f>'X בתוך X רופאים'!$J29-(VLOOKUP('X בתוך X רופאים'!$J29,$K$64:$N$67,2)*'X בתוך X רופאים'!$J29)</f>
        <v>23672.320000000003</v>
      </c>
      <c r="L29" s="424">
        <f t="shared" ca="1" si="0"/>
        <v>231.57894736842107</v>
      </c>
      <c r="M29" s="318" cm="1">
        <f t="array" aca="1" ref="M29" ca="1">_xlfn.XLOOKUP(O29,'רופאים נתוני עזר'!$A$6:$A$9,_xlfn.XLOOKUP(H29,'רופאים נתוני עזר'!$B$5:$K$5,'רופאים נתוני עזר'!$B$6:$K$9),,-1)</f>
        <v>880</v>
      </c>
      <c r="N29" s="354">
        <f>'X בתוך X רופאים'!$K29/$T$5</f>
        <v>5918.0800000000008</v>
      </c>
      <c r="O29">
        <f t="shared" ca="1" si="1"/>
        <v>16</v>
      </c>
      <c r="AA29" s="355"/>
    </row>
    <row r="30" spans="1:27" x14ac:dyDescent="0.25">
      <c r="A30" s="345">
        <v>12528</v>
      </c>
      <c r="B30" s="346" t="s">
        <v>469</v>
      </c>
      <c r="C30" s="346" t="s">
        <v>470</v>
      </c>
      <c r="D30" s="347">
        <v>30224</v>
      </c>
      <c r="E30" s="346">
        <v>1</v>
      </c>
      <c r="F30" s="346">
        <v>8258</v>
      </c>
      <c r="G30" s="348">
        <v>24874</v>
      </c>
      <c r="H30" s="348" t="s">
        <v>419</v>
      </c>
      <c r="I30" s="346" t="str">
        <f>VLOOKUP('X בתוך X רופאים'!$E30,[2]התמחויות!$A$2:$B$16,2,0)</f>
        <v>רפואת ילדים</v>
      </c>
      <c r="J30" s="348">
        <f>'X בתוך X רופאים'!$G30*(1+$A$67)</f>
        <v>27858.880000000001</v>
      </c>
      <c r="K30" s="348">
        <f>'X בתוך X רופאים'!$J30-(VLOOKUP('X בתוך X רופאים'!$J30,$K$64:$N$67,2)*'X בתוך X רופאים'!$J30)</f>
        <v>27858.880000000001</v>
      </c>
      <c r="L30" s="424">
        <f t="shared" ca="1" si="0"/>
        <v>473.68421052631584</v>
      </c>
      <c r="M30" s="318" cm="1">
        <f t="array" aca="1" ref="M30" ca="1">_xlfn.XLOOKUP(O30,'רופאים נתוני עזר'!$A$6:$A$9,_xlfn.XLOOKUP(H30,'רופאים נתוני עזר'!$B$5:$K$5,'רופאים נתוני עזר'!$B$6:$K$9),,-1)</f>
        <v>1800</v>
      </c>
      <c r="N30" s="348">
        <f>'X בתוך X רופאים'!$K30/$T$5</f>
        <v>6964.72</v>
      </c>
      <c r="O30">
        <f t="shared" ca="1" si="1"/>
        <v>44</v>
      </c>
      <c r="AA30" s="355"/>
    </row>
    <row r="31" spans="1:27" x14ac:dyDescent="0.25">
      <c r="A31" s="351">
        <v>12529</v>
      </c>
      <c r="B31" s="352" t="s">
        <v>471</v>
      </c>
      <c r="C31" s="352" t="s">
        <v>472</v>
      </c>
      <c r="D31" s="353">
        <v>24212</v>
      </c>
      <c r="E31" s="352">
        <v>1</v>
      </c>
      <c r="F31" s="352">
        <v>27842</v>
      </c>
      <c r="G31" s="354">
        <v>15843</v>
      </c>
      <c r="H31" s="354" t="s">
        <v>67</v>
      </c>
      <c r="I31" s="352" t="str">
        <f>VLOOKUP('X בתוך X רופאים'!$E31,[2]התמחויות!$A$2:$B$16,2,0)</f>
        <v>רפואת ילדים</v>
      </c>
      <c r="J31" s="354">
        <f>'X בתוך X רופאים'!$G31*(1+$A$67)</f>
        <v>17744.160000000003</v>
      </c>
      <c r="K31" s="354">
        <f>'X בתוך X רופאים'!$J31-(VLOOKUP('X בתוך X רופאים'!$J31,$K$64:$N$67,2)*'X בתוך X רופאים'!$J31)</f>
        <v>17744.160000000003</v>
      </c>
      <c r="L31" s="424">
        <f t="shared" ca="1" si="0"/>
        <v>500</v>
      </c>
      <c r="M31" s="318" cm="1">
        <f t="array" aca="1" ref="M31" ca="1">_xlfn.XLOOKUP(O31,'רופאים נתוני עזר'!$A$6:$A$9,_xlfn.XLOOKUP(H31,'רופאים נתוני עזר'!$B$5:$K$5,'רופאים נתוני עזר'!$B$6:$K$9),,-1)</f>
        <v>1900</v>
      </c>
      <c r="N31" s="354">
        <f>'X בתוך X רופאים'!$K31/$T$5</f>
        <v>4436.0400000000009</v>
      </c>
      <c r="O31">
        <f t="shared" ca="1" si="1"/>
        <v>60</v>
      </c>
      <c r="AA31" s="355"/>
    </row>
    <row r="32" spans="1:27" x14ac:dyDescent="0.25">
      <c r="A32" s="345">
        <v>12530</v>
      </c>
      <c r="B32" s="346" t="s">
        <v>473</v>
      </c>
      <c r="C32" s="346" t="s">
        <v>474</v>
      </c>
      <c r="D32" s="347">
        <v>18200</v>
      </c>
      <c r="E32" s="346">
        <v>1</v>
      </c>
      <c r="F32" s="346">
        <v>125250</v>
      </c>
      <c r="G32" s="348">
        <v>13648</v>
      </c>
      <c r="H32" s="348" t="s">
        <v>66</v>
      </c>
      <c r="I32" s="346" t="str">
        <f>VLOOKUP('X בתוך X רופאים'!$E32,[2]התמחויות!$A$2:$B$16,2,0)</f>
        <v>רפואת ילדים</v>
      </c>
      <c r="J32" s="348">
        <f>'X בתוך X רופאים'!$G32*(1+$A$67)</f>
        <v>15285.760000000002</v>
      </c>
      <c r="K32" s="348">
        <f>'X בתוך X רופאים'!$J32-(VLOOKUP('X בתוך X רופאים'!$J32,$K$64:$N$67,2)*'X בתוך X רופאים'!$J32)</f>
        <v>15285.760000000002</v>
      </c>
      <c r="L32" s="424">
        <f t="shared" ca="1" si="0"/>
        <v>526.31578947368428</v>
      </c>
      <c r="M32" s="318" cm="1">
        <f t="array" aca="1" ref="M32" ca="1">_xlfn.XLOOKUP(O32,'רופאים נתוני עזר'!$A$6:$A$9,_xlfn.XLOOKUP(H32,'רופאים נתוני עזר'!$B$5:$K$5,'רופאים נתוני עזר'!$B$6:$K$9),,-1)</f>
        <v>2000</v>
      </c>
      <c r="N32" s="348">
        <f>'X בתוך X רופאים'!$K32/$T$5</f>
        <v>3821.4400000000005</v>
      </c>
      <c r="O32">
        <f t="shared" ca="1" si="1"/>
        <v>77</v>
      </c>
      <c r="AA32" s="355"/>
    </row>
    <row r="33" spans="1:27" x14ac:dyDescent="0.25">
      <c r="A33" s="351">
        <v>12531</v>
      </c>
      <c r="B33" s="352" t="s">
        <v>475</v>
      </c>
      <c r="C33" s="352" t="s">
        <v>476</v>
      </c>
      <c r="D33" s="353">
        <v>12188</v>
      </c>
      <c r="E33" s="352">
        <v>5</v>
      </c>
      <c r="F33" s="352">
        <v>23000</v>
      </c>
      <c r="G33" s="354">
        <v>18782</v>
      </c>
      <c r="H33" s="354" t="s">
        <v>245</v>
      </c>
      <c r="I33" s="352" t="str">
        <f>VLOOKUP('X בתוך X רופאים'!$E33,[2]התמחויות!$A$2:$B$16,2,0)</f>
        <v>פסיכיאטריה</v>
      </c>
      <c r="J33" s="354">
        <f>'X בתוך X רופאים'!$G33*(1+$A$67)</f>
        <v>21035.840000000004</v>
      </c>
      <c r="K33" s="354">
        <f>'X בתוך X רופאים'!$J33-(VLOOKUP('X בתוך X רופאים'!$J33,$K$64:$N$67,2)*'X בתוך X רופאים'!$J33)</f>
        <v>21035.840000000004</v>
      </c>
      <c r="L33" s="424">
        <f t="shared" ca="1" si="0"/>
        <v>552.63157894736844</v>
      </c>
      <c r="M33" s="318" cm="1">
        <f t="array" aca="1" ref="M33" ca="1">_xlfn.XLOOKUP(O33,'רופאים נתוני עזר'!$A$6:$A$9,_xlfn.XLOOKUP(H33,'רופאים נתוני עזר'!$B$5:$K$5,'רופאים נתוני עזר'!$B$6:$K$9),,-1)</f>
        <v>2100</v>
      </c>
      <c r="N33" s="354">
        <f>'X בתוך X רופאים'!$K33/$T$5</f>
        <v>5258.9600000000009</v>
      </c>
      <c r="O33">
        <f t="shared" ca="1" si="1"/>
        <v>93</v>
      </c>
      <c r="AA33" s="355"/>
    </row>
    <row r="34" spans="1:27" x14ac:dyDescent="0.25">
      <c r="A34" s="345">
        <v>12532</v>
      </c>
      <c r="B34" s="346" t="s">
        <v>477</v>
      </c>
      <c r="C34" s="346" t="s">
        <v>478</v>
      </c>
      <c r="D34" s="347">
        <v>6176</v>
      </c>
      <c r="E34" s="346">
        <v>15</v>
      </c>
      <c r="F34" s="346">
        <v>2322</v>
      </c>
      <c r="G34" s="348">
        <v>22341</v>
      </c>
      <c r="H34" s="348" t="s">
        <v>416</v>
      </c>
      <c r="I34" s="346" t="str">
        <f>VLOOKUP('X בתוך X רופאים'!$E34,[2]התמחויות!$A$2:$B$16,2,0)</f>
        <v>נפרולוגיה</v>
      </c>
      <c r="J34" s="348">
        <f>'X בתוך X רופאים'!$G34*(1+$A$67)</f>
        <v>25021.920000000002</v>
      </c>
      <c r="K34" s="348">
        <f>'X בתוך X רופאים'!$J34-(VLOOKUP('X בתוך X רופאים'!$J34,$K$64:$N$67,2)*'X בתוך X רופאים'!$J34)</f>
        <v>25021.920000000002</v>
      </c>
      <c r="L34" s="424">
        <f t="shared" ref="L34:L65" ca="1" si="2">M34/$T$10</f>
        <v>447.36842105263162</v>
      </c>
      <c r="M34" s="318" cm="1">
        <f t="array" aca="1" ref="M34" ca="1">_xlfn.XLOOKUP(O34,'רופאים נתוני עזר'!$A$6:$A$9,_xlfn.XLOOKUP(H34,'רופאים נתוני עזר'!$B$5:$K$5,'רופאים נתוני עזר'!$B$6:$K$9),,-1)</f>
        <v>1700</v>
      </c>
      <c r="N34" s="348">
        <f>'X בתוך X רופאים'!$K34/$T$5</f>
        <v>6255.4800000000005</v>
      </c>
      <c r="O34">
        <f t="shared" ref="O34:O60" ca="1" si="3">YEAR(TODAY())-YEAR(D34)</f>
        <v>110</v>
      </c>
      <c r="AA34" s="355"/>
    </row>
    <row r="35" spans="1:27" x14ac:dyDescent="0.25">
      <c r="A35" s="351">
        <v>12533</v>
      </c>
      <c r="B35" s="352" t="s">
        <v>479</v>
      </c>
      <c r="C35" s="352" t="s">
        <v>480</v>
      </c>
      <c r="D35" s="353">
        <v>164</v>
      </c>
      <c r="E35" s="352">
        <v>9</v>
      </c>
      <c r="F35" s="352">
        <v>34332</v>
      </c>
      <c r="G35" s="354">
        <v>12424</v>
      </c>
      <c r="H35" s="354" t="s">
        <v>67</v>
      </c>
      <c r="I35" s="352" t="str">
        <f>VLOOKUP('X בתוך X רופאים'!$E35,[2]התמחויות!$A$2:$B$16,2,0)</f>
        <v>רפואה פנימית</v>
      </c>
      <c r="J35" s="354">
        <f>'X בתוך X רופאים'!$G35*(1+$A$67)</f>
        <v>13914.880000000001</v>
      </c>
      <c r="K35" s="354">
        <f>'X בתוך X רופאים'!$J35-(VLOOKUP('X בתוך X רופאים'!$J35,$K$64:$N$67,2)*'X בתוך X רופאים'!$J35)</f>
        <v>13914.880000000001</v>
      </c>
      <c r="L35" s="424">
        <f t="shared" ca="1" si="2"/>
        <v>500</v>
      </c>
      <c r="M35" s="318" cm="1">
        <f t="array" aca="1" ref="M35" ca="1">_xlfn.XLOOKUP(O35,'רופאים נתוני עזר'!$A$6:$A$9,_xlfn.XLOOKUP(H35,'רופאים נתוני עזר'!$B$5:$K$5,'רופאים נתוני עזר'!$B$6:$K$9),,-1)</f>
        <v>1900</v>
      </c>
      <c r="N35" s="354">
        <f>'X בתוך X רופאים'!$K35/$T$5</f>
        <v>3478.7200000000003</v>
      </c>
      <c r="O35">
        <f t="shared" ca="1" si="3"/>
        <v>126</v>
      </c>
      <c r="AA35" s="355"/>
    </row>
    <row r="36" spans="1:27" x14ac:dyDescent="0.25">
      <c r="A36" s="345">
        <v>12534</v>
      </c>
      <c r="B36" s="346" t="s">
        <v>481</v>
      </c>
      <c r="C36" s="346" t="s">
        <v>482</v>
      </c>
      <c r="D36" s="347">
        <v>30224</v>
      </c>
      <c r="E36" s="346">
        <v>10</v>
      </c>
      <c r="F36" s="346">
        <v>108004</v>
      </c>
      <c r="G36" s="348">
        <v>15587</v>
      </c>
      <c r="H36" s="348" t="s">
        <v>325</v>
      </c>
      <c r="I36" s="346" t="str">
        <f>VLOOKUP('X בתוך X רופאים'!$E36,[2]התמחויות!$A$2:$B$16,2,0)</f>
        <v>יילוד וגינקולוגיה</v>
      </c>
      <c r="J36" s="348">
        <f>'X בתוך X רופאים'!$G36*(1+$A$67)</f>
        <v>17457.440000000002</v>
      </c>
      <c r="K36" s="348">
        <f>'X בתוך X רופאים'!$J36-(VLOOKUP('X בתוך X רופאים'!$J36,$K$64:$N$67,2)*'X בתוך X רופאים'!$J36)</f>
        <v>17457.440000000002</v>
      </c>
      <c r="L36" s="424">
        <f t="shared" ca="1" si="2"/>
        <v>578.94736842105272</v>
      </c>
      <c r="M36" s="318" cm="1">
        <f t="array" aca="1" ref="M36" ca="1">_xlfn.XLOOKUP(O36,'רופאים נתוני עזר'!$A$6:$A$9,_xlfn.XLOOKUP(H36,'רופאים נתוני עזר'!$B$5:$K$5,'רופאים נתוני עזר'!$B$6:$K$9),,-1)</f>
        <v>2200</v>
      </c>
      <c r="N36" s="348">
        <f>'X בתוך X רופאים'!$K36/$T$5</f>
        <v>4364.3600000000006</v>
      </c>
      <c r="O36">
        <f t="shared" ca="1" si="3"/>
        <v>44</v>
      </c>
      <c r="AA36" s="355"/>
    </row>
    <row r="37" spans="1:27" x14ac:dyDescent="0.25">
      <c r="A37" s="351">
        <v>12535</v>
      </c>
      <c r="B37" s="352" t="s">
        <v>483</v>
      </c>
      <c r="C37" s="352" t="s">
        <v>484</v>
      </c>
      <c r="D37" s="353">
        <v>24212</v>
      </c>
      <c r="E37" s="352">
        <v>5</v>
      </c>
      <c r="F37" s="352">
        <v>2756</v>
      </c>
      <c r="G37" s="354">
        <v>24569</v>
      </c>
      <c r="H37" s="354" t="s">
        <v>325</v>
      </c>
      <c r="I37" s="352" t="str">
        <f>VLOOKUP('X בתוך X רופאים'!$E37,[2]התמחויות!$A$2:$B$16,2,0)</f>
        <v>פסיכיאטריה</v>
      </c>
      <c r="J37" s="354">
        <f>'X בתוך X רופאים'!$G37*(1+$A$67)</f>
        <v>27517.280000000002</v>
      </c>
      <c r="K37" s="354">
        <f>'X בתוך X רופאים'!$J37-(VLOOKUP('X בתוך X רופאים'!$J37,$K$64:$N$67,2)*'X בתוך X רופאים'!$J37)</f>
        <v>27517.280000000002</v>
      </c>
      <c r="L37" s="424">
        <f t="shared" ca="1" si="2"/>
        <v>578.94736842105272</v>
      </c>
      <c r="M37" s="318" cm="1">
        <f t="array" aca="1" ref="M37" ca="1">_xlfn.XLOOKUP(O37,'רופאים נתוני עזר'!$A$6:$A$9,_xlfn.XLOOKUP(H37,'רופאים נתוני עזר'!$B$5:$K$5,'רופאים נתוני עזר'!$B$6:$K$9),,-1)</f>
        <v>2200</v>
      </c>
      <c r="N37" s="354">
        <f>'X בתוך X רופאים'!$K37/$T$5</f>
        <v>6879.3200000000006</v>
      </c>
      <c r="O37">
        <f t="shared" ca="1" si="3"/>
        <v>60</v>
      </c>
      <c r="AA37" s="355"/>
    </row>
    <row r="38" spans="1:27" x14ac:dyDescent="0.25">
      <c r="A38" s="345">
        <v>12536</v>
      </c>
      <c r="B38" s="346" t="s">
        <v>429</v>
      </c>
      <c r="C38" s="346" t="s">
        <v>485</v>
      </c>
      <c r="D38" s="347">
        <v>30224</v>
      </c>
      <c r="E38" s="346">
        <v>2</v>
      </c>
      <c r="F38" s="346">
        <v>89255</v>
      </c>
      <c r="G38" s="348">
        <v>21797</v>
      </c>
      <c r="H38" s="348" t="s">
        <v>407</v>
      </c>
      <c r="I38" s="346" t="str">
        <f>VLOOKUP('X בתוך X רופאים'!$E38,[2]התמחויות!$A$2:$B$16,2,0)</f>
        <v>כירורגיה כללית</v>
      </c>
      <c r="J38" s="348">
        <f>'X בתוך X רופאים'!$G38*(1+$A$67)</f>
        <v>24412.640000000003</v>
      </c>
      <c r="K38" s="348">
        <f>'X בתוך X רופאים'!$J38-(VLOOKUP('X בתוך X רופאים'!$J38,$K$64:$N$67,2)*'X בתוך X רופאים'!$J38)</f>
        <v>24412.640000000003</v>
      </c>
      <c r="L38" s="424">
        <f t="shared" ca="1" si="2"/>
        <v>605.26315789473688</v>
      </c>
      <c r="M38" s="318" cm="1">
        <f t="array" aca="1" ref="M38" ca="1">_xlfn.XLOOKUP(O38,'רופאים נתוני עזר'!$A$6:$A$9,_xlfn.XLOOKUP(H38,'רופאים נתוני עזר'!$B$5:$K$5,'רופאים נתוני עזר'!$B$6:$K$9),,-1)</f>
        <v>2300</v>
      </c>
      <c r="N38" s="348">
        <f>'X בתוך X רופאים'!$K38/$T$5</f>
        <v>6103.1600000000008</v>
      </c>
      <c r="O38">
        <f t="shared" ca="1" si="3"/>
        <v>44</v>
      </c>
      <c r="AA38" s="355"/>
    </row>
    <row r="39" spans="1:27" x14ac:dyDescent="0.25">
      <c r="A39" s="351">
        <v>12537</v>
      </c>
      <c r="B39" s="352" t="s">
        <v>486</v>
      </c>
      <c r="C39" s="352" t="s">
        <v>487</v>
      </c>
      <c r="D39" s="353">
        <v>24212</v>
      </c>
      <c r="E39" s="352">
        <v>9</v>
      </c>
      <c r="F39" s="352">
        <v>31044</v>
      </c>
      <c r="G39" s="354">
        <v>22215</v>
      </c>
      <c r="H39" s="354" t="s">
        <v>413</v>
      </c>
      <c r="I39" s="352" t="str">
        <f>VLOOKUP('X בתוך X רופאים'!$E39,[2]התמחויות!$A$2:$B$16,2,0)</f>
        <v>רפואה פנימית</v>
      </c>
      <c r="J39" s="354">
        <f>'X בתוך X רופאים'!$G39*(1+$A$67)</f>
        <v>24880.800000000003</v>
      </c>
      <c r="K39" s="354">
        <f>'X בתוך X רופאים'!$J39-(VLOOKUP('X בתוך X רופאים'!$J39,$K$64:$N$67,2)*'X בתוך X רופאים'!$J39)</f>
        <v>24880.800000000003</v>
      </c>
      <c r="L39" s="424">
        <f t="shared" ca="1" si="2"/>
        <v>421.0526315789474</v>
      </c>
      <c r="M39" s="318" cm="1">
        <f t="array" aca="1" ref="M39" ca="1">_xlfn.XLOOKUP(O39,'רופאים נתוני עזר'!$A$6:$A$9,_xlfn.XLOOKUP(H39,'רופאים נתוני עזר'!$B$5:$K$5,'רופאים נתוני עזר'!$B$6:$K$9),,-1)</f>
        <v>1600</v>
      </c>
      <c r="N39" s="354">
        <f>'X בתוך X רופאים'!$K39/$T$5</f>
        <v>6220.2000000000007</v>
      </c>
      <c r="O39">
        <f t="shared" ca="1" si="3"/>
        <v>60</v>
      </c>
      <c r="AA39" s="355"/>
    </row>
    <row r="40" spans="1:27" x14ac:dyDescent="0.25">
      <c r="A40" s="345">
        <v>12538</v>
      </c>
      <c r="B40" s="346" t="s">
        <v>488</v>
      </c>
      <c r="C40" s="346" t="s">
        <v>489</v>
      </c>
      <c r="D40" s="347">
        <v>30224</v>
      </c>
      <c r="E40" s="346">
        <v>14</v>
      </c>
      <c r="F40" s="346">
        <v>94264</v>
      </c>
      <c r="G40" s="348">
        <v>20910</v>
      </c>
      <c r="H40" s="348" t="s">
        <v>416</v>
      </c>
      <c r="I40" s="346" t="str">
        <f>VLOOKUP('X בתוך X רופאים'!$E40,[2]התמחויות!$A$2:$B$16,2,0)</f>
        <v>כירורגיה אורולוגית</v>
      </c>
      <c r="J40" s="348">
        <f>'X בתוך X רופאים'!$G40*(1+$A$67)</f>
        <v>23419.200000000001</v>
      </c>
      <c r="K40" s="348">
        <f>'X בתוך X רופאים'!$J40-(VLOOKUP('X בתוך X רופאים'!$J40,$K$64:$N$67,2)*'X בתוך X רופאים'!$J40)</f>
        <v>23419.200000000001</v>
      </c>
      <c r="L40" s="424">
        <f t="shared" ca="1" si="2"/>
        <v>447.36842105263162</v>
      </c>
      <c r="M40" s="318" cm="1">
        <f t="array" aca="1" ref="M40" ca="1">_xlfn.XLOOKUP(O40,'רופאים נתוני עזר'!$A$6:$A$9,_xlfn.XLOOKUP(H40,'רופאים נתוני עזר'!$B$5:$K$5,'רופאים נתוני עזר'!$B$6:$K$9),,-1)</f>
        <v>1700</v>
      </c>
      <c r="N40" s="348">
        <f>'X בתוך X רופאים'!$K40/$T$5</f>
        <v>5854.8</v>
      </c>
      <c r="O40">
        <f t="shared" ca="1" si="3"/>
        <v>44</v>
      </c>
      <c r="AA40" s="355"/>
    </row>
    <row r="41" spans="1:27" x14ac:dyDescent="0.25">
      <c r="A41" s="351">
        <v>12539</v>
      </c>
      <c r="B41" s="352" t="s">
        <v>490</v>
      </c>
      <c r="C41" s="352" t="s">
        <v>491</v>
      </c>
      <c r="D41" s="353">
        <v>24212</v>
      </c>
      <c r="E41" s="352">
        <v>7</v>
      </c>
      <c r="F41" s="352">
        <v>102905</v>
      </c>
      <c r="G41" s="354">
        <v>13472</v>
      </c>
      <c r="H41" s="354" t="s">
        <v>419</v>
      </c>
      <c r="I41" s="352" t="str">
        <f>VLOOKUP('X בתוך X רופאים'!$E41,[2]התמחויות!$A$2:$B$16,2,0)</f>
        <v>רפואת המשפחה</v>
      </c>
      <c r="J41" s="354">
        <f>'X בתוך X רופאים'!$G41*(1+$A$67)</f>
        <v>15088.640000000001</v>
      </c>
      <c r="K41" s="354">
        <f>'X בתוך X רופאים'!$J41-(VLOOKUP('X בתוך X רופאים'!$J41,$K$64:$N$67,2)*'X בתוך X רופאים'!$J41)</f>
        <v>15088.640000000001</v>
      </c>
      <c r="L41" s="424">
        <f t="shared" ca="1" si="2"/>
        <v>473.68421052631584</v>
      </c>
      <c r="M41" s="318" cm="1">
        <f t="array" aca="1" ref="M41" ca="1">_xlfn.XLOOKUP(O41,'רופאים נתוני עזר'!$A$6:$A$9,_xlfn.XLOOKUP(H41,'רופאים נתוני עזר'!$B$5:$K$5,'רופאים נתוני עזר'!$B$6:$K$9),,-1)</f>
        <v>1800</v>
      </c>
      <c r="N41" s="354">
        <f>'X בתוך X רופאים'!$K41/$T$5</f>
        <v>3772.1600000000003</v>
      </c>
      <c r="O41">
        <f t="shared" ca="1" si="3"/>
        <v>60</v>
      </c>
      <c r="AA41" s="355"/>
    </row>
    <row r="42" spans="1:27" x14ac:dyDescent="0.25">
      <c r="A42" s="345">
        <v>12540</v>
      </c>
      <c r="B42" s="346" t="s">
        <v>492</v>
      </c>
      <c r="C42" s="346" t="s">
        <v>493</v>
      </c>
      <c r="D42" s="347">
        <v>30224</v>
      </c>
      <c r="E42" s="346">
        <v>7</v>
      </c>
      <c r="F42" s="346">
        <v>49137</v>
      </c>
      <c r="G42" s="348">
        <v>17377</v>
      </c>
      <c r="H42" s="348" t="s">
        <v>67</v>
      </c>
      <c r="I42" s="346" t="str">
        <f>VLOOKUP('X בתוך X רופאים'!$E42,[2]התמחויות!$A$2:$B$16,2,0)</f>
        <v>רפואת המשפחה</v>
      </c>
      <c r="J42" s="348">
        <f>'X בתוך X רופאים'!$G42*(1+$A$67)</f>
        <v>19462.240000000002</v>
      </c>
      <c r="K42" s="348">
        <f>'X בתוך X רופאים'!$J42-(VLOOKUP('X בתוך X רופאים'!$J42,$K$64:$N$67,2)*'X בתוך X רופאים'!$J42)</f>
        <v>19462.240000000002</v>
      </c>
      <c r="L42" s="424">
        <f t="shared" ca="1" si="2"/>
        <v>500</v>
      </c>
      <c r="M42" s="318" cm="1">
        <f t="array" aca="1" ref="M42" ca="1">_xlfn.XLOOKUP(O42,'רופאים נתוני עזר'!$A$6:$A$9,_xlfn.XLOOKUP(H42,'רופאים נתוני עזר'!$B$5:$K$5,'רופאים נתוני עזר'!$B$6:$K$9),,-1)</f>
        <v>1900</v>
      </c>
      <c r="N42" s="348">
        <f>'X בתוך X רופאים'!$K42/$T$5</f>
        <v>4865.5600000000004</v>
      </c>
      <c r="O42">
        <f t="shared" ca="1" si="3"/>
        <v>44</v>
      </c>
      <c r="AA42" s="355"/>
    </row>
    <row r="43" spans="1:27" x14ac:dyDescent="0.25">
      <c r="A43" s="351">
        <v>12541</v>
      </c>
      <c r="B43" s="352" t="s">
        <v>494</v>
      </c>
      <c r="C43" s="352" t="s">
        <v>495</v>
      </c>
      <c r="D43" s="353">
        <v>24212</v>
      </c>
      <c r="E43" s="352">
        <v>2</v>
      </c>
      <c r="F43" s="352">
        <v>6766</v>
      </c>
      <c r="G43" s="354">
        <v>23466</v>
      </c>
      <c r="H43" s="354" t="s">
        <v>66</v>
      </c>
      <c r="I43" s="352" t="str">
        <f>VLOOKUP('X בתוך X רופאים'!$E43,[2]התמחויות!$A$2:$B$16,2,0)</f>
        <v>כירורגיה כללית</v>
      </c>
      <c r="J43" s="354">
        <f>'X בתוך X רופאים'!$G43*(1+$A$67)</f>
        <v>26281.920000000002</v>
      </c>
      <c r="K43" s="354">
        <f>'X בתוך X רופאים'!$J43-(VLOOKUP('X בתוך X רופאים'!$J43,$K$64:$N$67,2)*'X בתוך X רופאים'!$J43)</f>
        <v>26281.920000000002</v>
      </c>
      <c r="L43" s="424">
        <f t="shared" ca="1" si="2"/>
        <v>526.31578947368428</v>
      </c>
      <c r="M43" s="318" cm="1">
        <f t="array" aca="1" ref="M43" ca="1">_xlfn.XLOOKUP(O43,'רופאים נתוני עזר'!$A$6:$A$9,_xlfn.XLOOKUP(H43,'רופאים נתוני עזר'!$B$5:$K$5,'רופאים נתוני עזר'!$B$6:$K$9),,-1)</f>
        <v>2000</v>
      </c>
      <c r="N43" s="354">
        <f>'X בתוך X רופאים'!$K43/$T$5</f>
        <v>6570.4800000000005</v>
      </c>
      <c r="O43">
        <f t="shared" ca="1" si="3"/>
        <v>60</v>
      </c>
      <c r="AA43" s="355"/>
    </row>
    <row r="44" spans="1:27" x14ac:dyDescent="0.25">
      <c r="A44" s="345">
        <v>12542</v>
      </c>
      <c r="B44" s="346" t="s">
        <v>496</v>
      </c>
      <c r="C44" s="346" t="s">
        <v>497</v>
      </c>
      <c r="D44" s="347">
        <v>30224</v>
      </c>
      <c r="E44" s="346">
        <v>1</v>
      </c>
      <c r="F44" s="346">
        <v>536762</v>
      </c>
      <c r="G44" s="348">
        <v>22918</v>
      </c>
      <c r="H44" s="348" t="s">
        <v>245</v>
      </c>
      <c r="I44" s="346" t="str">
        <f>VLOOKUP('X בתוך X רופאים'!$E44,[2]התמחויות!$A$2:$B$16,2,0)</f>
        <v>רפואת ילדים</v>
      </c>
      <c r="J44" s="348">
        <f>'X בתוך X רופאים'!$G44*(1+$A$67)</f>
        <v>25668.160000000003</v>
      </c>
      <c r="K44" s="348">
        <f>'X בתוך X רופאים'!$J44-(VLOOKUP('X בתוך X רופאים'!$J44,$K$64:$N$67,2)*'X בתוך X רופאים'!$J44)</f>
        <v>25668.160000000003</v>
      </c>
      <c r="L44" s="424">
        <f t="shared" ca="1" si="2"/>
        <v>552.63157894736844</v>
      </c>
      <c r="M44" s="318" cm="1">
        <f t="array" aca="1" ref="M44" ca="1">_xlfn.XLOOKUP(O44,'רופאים נתוני עזר'!$A$6:$A$9,_xlfn.XLOOKUP(H44,'רופאים נתוני עזר'!$B$5:$K$5,'רופאים נתוני עזר'!$B$6:$K$9),,-1)</f>
        <v>2100</v>
      </c>
      <c r="N44" s="348">
        <f>'X בתוך X רופאים'!$K44/$T$5</f>
        <v>6417.0400000000009</v>
      </c>
      <c r="O44">
        <f t="shared" ca="1" si="3"/>
        <v>44</v>
      </c>
      <c r="AA44" s="355"/>
    </row>
    <row r="45" spans="1:27" x14ac:dyDescent="0.25">
      <c r="A45" s="351">
        <v>12543</v>
      </c>
      <c r="B45" s="352" t="s">
        <v>496</v>
      </c>
      <c r="C45" s="352" t="s">
        <v>498</v>
      </c>
      <c r="D45" s="353">
        <v>24212</v>
      </c>
      <c r="E45" s="352">
        <v>1</v>
      </c>
      <c r="F45" s="352">
        <v>114294</v>
      </c>
      <c r="G45" s="354">
        <v>24792</v>
      </c>
      <c r="H45" s="354" t="s">
        <v>325</v>
      </c>
      <c r="I45" s="352" t="str">
        <f>VLOOKUP('X בתוך X רופאים'!$E45,[2]התמחויות!$A$2:$B$16,2,0)</f>
        <v>רפואת ילדים</v>
      </c>
      <c r="J45" s="354">
        <f>'X בתוך X רופאים'!$G45*(1+$A$67)</f>
        <v>27767.040000000001</v>
      </c>
      <c r="K45" s="354">
        <f>'X בתוך X רופאים'!$J45-(VLOOKUP('X בתוך X רופאים'!$J45,$K$64:$N$67,2)*'X בתוך X רופאים'!$J45)</f>
        <v>27767.040000000001</v>
      </c>
      <c r="L45" s="424">
        <f t="shared" ca="1" si="2"/>
        <v>578.94736842105272</v>
      </c>
      <c r="M45" s="318" cm="1">
        <f t="array" aca="1" ref="M45" ca="1">_xlfn.XLOOKUP(O45,'רופאים נתוני עזר'!$A$6:$A$9,_xlfn.XLOOKUP(H45,'רופאים נתוני עזר'!$B$5:$K$5,'רופאים נתוני עזר'!$B$6:$K$9),,-1)</f>
        <v>2200</v>
      </c>
      <c r="N45" s="354">
        <f>'X בתוך X רופאים'!$K45/$T$5</f>
        <v>6941.76</v>
      </c>
      <c r="O45">
        <f t="shared" ca="1" si="3"/>
        <v>60</v>
      </c>
      <c r="AA45" s="355"/>
    </row>
    <row r="46" spans="1:27" x14ac:dyDescent="0.25">
      <c r="A46" s="345">
        <v>12544</v>
      </c>
      <c r="B46" s="346" t="s">
        <v>496</v>
      </c>
      <c r="C46" s="346" t="s">
        <v>499</v>
      </c>
      <c r="D46" s="347">
        <v>30224</v>
      </c>
      <c r="E46" s="346">
        <v>1</v>
      </c>
      <c r="F46" s="346">
        <v>63008</v>
      </c>
      <c r="G46" s="348">
        <v>15826</v>
      </c>
      <c r="H46" s="348" t="s">
        <v>325</v>
      </c>
      <c r="I46" s="346" t="str">
        <f>VLOOKUP('X בתוך X רופאים'!$E46,[2]התמחויות!$A$2:$B$16,2,0)</f>
        <v>רפואת ילדים</v>
      </c>
      <c r="J46" s="348">
        <f>'X בתוך X רופאים'!$G46*(1+$A$67)</f>
        <v>17725.120000000003</v>
      </c>
      <c r="K46" s="348">
        <f>'X בתוך X רופאים'!$J46-(VLOOKUP('X בתוך X רופאים'!$J46,$K$64:$N$67,2)*'X בתוך X רופאים'!$J46)</f>
        <v>17725.120000000003</v>
      </c>
      <c r="L46" s="424">
        <f t="shared" ca="1" si="2"/>
        <v>578.94736842105272</v>
      </c>
      <c r="M46" s="318" cm="1">
        <f t="array" aca="1" ref="M46" ca="1">_xlfn.XLOOKUP(O46,'רופאים נתוני עזר'!$A$6:$A$9,_xlfn.XLOOKUP(H46,'רופאים נתוני עזר'!$B$5:$K$5,'רופאים נתוני עזר'!$B$6:$K$9),,-1)</f>
        <v>2200</v>
      </c>
      <c r="N46" s="348">
        <f>'X בתוך X רופאים'!$K46/$T$5</f>
        <v>4431.2800000000007</v>
      </c>
      <c r="O46">
        <f t="shared" ca="1" si="3"/>
        <v>44</v>
      </c>
      <c r="AA46" s="355"/>
    </row>
    <row r="47" spans="1:27" x14ac:dyDescent="0.25">
      <c r="A47" s="351">
        <v>12545</v>
      </c>
      <c r="B47" s="352" t="s">
        <v>500</v>
      </c>
      <c r="C47" s="352" t="s">
        <v>501</v>
      </c>
      <c r="D47" s="353">
        <v>24212</v>
      </c>
      <c r="E47" s="352">
        <v>5</v>
      </c>
      <c r="F47" s="352">
        <v>61249</v>
      </c>
      <c r="G47" s="354">
        <v>9983</v>
      </c>
      <c r="H47" s="354" t="s">
        <v>407</v>
      </c>
      <c r="I47" s="352" t="str">
        <f>VLOOKUP('X בתוך X רופאים'!$E47,[2]התמחויות!$A$2:$B$16,2,0)</f>
        <v>פסיכיאטריה</v>
      </c>
      <c r="J47" s="354">
        <f>'X בתוך X רופאים'!$G47*(1+$A$67)</f>
        <v>11180.960000000001</v>
      </c>
      <c r="K47" s="354">
        <f>'X בתוך X רופאים'!$J47-(VLOOKUP('X בתוך X רופאים'!$J47,$K$64:$N$67,2)*'X בתוך X רופאים'!$J47)</f>
        <v>11180.960000000001</v>
      </c>
      <c r="L47" s="424">
        <f t="shared" ca="1" si="2"/>
        <v>605.26315789473688</v>
      </c>
      <c r="M47" s="318" cm="1">
        <f t="array" aca="1" ref="M47" ca="1">_xlfn.XLOOKUP(O47,'רופאים נתוני עזר'!$A$6:$A$9,_xlfn.XLOOKUP(H47,'רופאים נתוני עזר'!$B$5:$K$5,'רופאים נתוני עזר'!$B$6:$K$9),,-1)</f>
        <v>2300</v>
      </c>
      <c r="N47" s="354">
        <f>'X בתוך X רופאים'!$K47/$T$5</f>
        <v>2795.2400000000002</v>
      </c>
      <c r="O47">
        <f t="shared" ca="1" si="3"/>
        <v>60</v>
      </c>
      <c r="AA47" s="355"/>
    </row>
    <row r="48" spans="1:27" x14ac:dyDescent="0.25">
      <c r="A48" s="345">
        <v>12546</v>
      </c>
      <c r="B48" s="346" t="s">
        <v>502</v>
      </c>
      <c r="C48" s="346" t="s">
        <v>503</v>
      </c>
      <c r="D48" s="347">
        <v>30224</v>
      </c>
      <c r="E48" s="346">
        <v>15</v>
      </c>
      <c r="F48" s="346">
        <v>105618</v>
      </c>
      <c r="G48" s="348">
        <v>15009</v>
      </c>
      <c r="H48" s="348" t="s">
        <v>413</v>
      </c>
      <c r="I48" s="346" t="str">
        <f>VLOOKUP('X בתוך X רופאים'!$E48,[2]התמחויות!$A$2:$B$16,2,0)</f>
        <v>נפרולוגיה</v>
      </c>
      <c r="J48" s="348">
        <f>'X בתוך X רופאים'!$G48*(1+$A$67)</f>
        <v>16810.080000000002</v>
      </c>
      <c r="K48" s="348">
        <f>'X בתוך X רופאים'!$J48-(VLOOKUP('X בתוך X רופאים'!$J48,$K$64:$N$67,2)*'X בתוך X רופאים'!$J48)</f>
        <v>16810.080000000002</v>
      </c>
      <c r="L48" s="424">
        <f t="shared" ca="1" si="2"/>
        <v>421.0526315789474</v>
      </c>
      <c r="M48" s="318" cm="1">
        <f t="array" aca="1" ref="M48" ca="1">_xlfn.XLOOKUP(O48,'רופאים נתוני עזר'!$A$6:$A$9,_xlfn.XLOOKUP(H48,'רופאים נתוני עזר'!$B$5:$K$5,'רופאים נתוני עזר'!$B$6:$K$9),,-1)</f>
        <v>1600</v>
      </c>
      <c r="N48" s="348">
        <f>'X בתוך X רופאים'!$K48/$T$5</f>
        <v>4202.5200000000004</v>
      </c>
      <c r="O48">
        <f t="shared" ca="1" si="3"/>
        <v>44</v>
      </c>
      <c r="AA48" s="355"/>
    </row>
    <row r="49" spans="1:27" x14ac:dyDescent="0.25">
      <c r="A49" s="351">
        <v>12547</v>
      </c>
      <c r="B49" s="352" t="s">
        <v>504</v>
      </c>
      <c r="C49" s="352" t="s">
        <v>505</v>
      </c>
      <c r="D49" s="353">
        <v>24212</v>
      </c>
      <c r="E49" s="352">
        <v>9</v>
      </c>
      <c r="F49" s="352">
        <v>37669</v>
      </c>
      <c r="G49" s="354">
        <v>16462</v>
      </c>
      <c r="H49" s="354" t="s">
        <v>245</v>
      </c>
      <c r="I49" s="352" t="str">
        <f>VLOOKUP('X בתוך X רופאים'!$E49,[2]התמחויות!$A$2:$B$16,2,0)</f>
        <v>רפואה פנימית</v>
      </c>
      <c r="J49" s="354">
        <f>'X בתוך X רופאים'!$G49*(1+$A$67)</f>
        <v>18437.440000000002</v>
      </c>
      <c r="K49" s="354">
        <f>'X בתוך X רופאים'!$J49-(VLOOKUP('X בתוך X רופאים'!$J49,$K$64:$N$67,2)*'X בתוך X רופאים'!$J49)</f>
        <v>18437.440000000002</v>
      </c>
      <c r="L49" s="424">
        <f t="shared" ca="1" si="2"/>
        <v>552.63157894736844</v>
      </c>
      <c r="M49" s="318" cm="1">
        <f t="array" aca="1" ref="M49" ca="1">_xlfn.XLOOKUP(O49,'רופאים נתוני עזר'!$A$6:$A$9,_xlfn.XLOOKUP(H49,'רופאים נתוני עזר'!$B$5:$K$5,'רופאים נתוני עזר'!$B$6:$K$9),,-1)</f>
        <v>2100</v>
      </c>
      <c r="N49" s="354">
        <f>'X בתוך X רופאים'!$K49/$T$5</f>
        <v>4609.3600000000006</v>
      </c>
      <c r="O49">
        <f t="shared" ca="1" si="3"/>
        <v>60</v>
      </c>
      <c r="AA49" s="355"/>
    </row>
    <row r="50" spans="1:27" x14ac:dyDescent="0.25">
      <c r="A50" s="345">
        <v>12548</v>
      </c>
      <c r="B50" s="346" t="s">
        <v>459</v>
      </c>
      <c r="C50" s="346" t="s">
        <v>506</v>
      </c>
      <c r="D50" s="347">
        <v>30224</v>
      </c>
      <c r="E50" s="346">
        <v>10</v>
      </c>
      <c r="F50" s="346">
        <v>9143</v>
      </c>
      <c r="G50" s="348">
        <v>22076</v>
      </c>
      <c r="H50" s="348" t="s">
        <v>438</v>
      </c>
      <c r="I50" s="346" t="str">
        <f>VLOOKUP('X בתוך X רופאים'!$E50,[2]התמחויות!$A$2:$B$16,2,0)</f>
        <v>יילוד וגינקולוגיה</v>
      </c>
      <c r="J50" s="348">
        <f>'X בתוך X רופאים'!$G50*(1+$A$67)</f>
        <v>24725.120000000003</v>
      </c>
      <c r="K50" s="348">
        <f>'X בתוך X רופאים'!$J50-(VLOOKUP('X בתוך X רופאים'!$J50,$K$64:$N$67,2)*'X בתוך X רופאים'!$J50)</f>
        <v>24725.120000000003</v>
      </c>
      <c r="L50" s="424">
        <f t="shared" ca="1" si="2"/>
        <v>631.57894736842104</v>
      </c>
      <c r="M50" s="318" cm="1">
        <f t="array" aca="1" ref="M50" ca="1">_xlfn.XLOOKUP(O50,'רופאים נתוני עזר'!$A$6:$A$9,_xlfn.XLOOKUP(H50,'רופאים נתוני עזר'!$B$5:$K$5,'רופאים נתוני עזר'!$B$6:$K$9),,-1)</f>
        <v>2400</v>
      </c>
      <c r="N50" s="348">
        <f>'X בתוך X רופאים'!$K50/$T$5</f>
        <v>6181.2800000000007</v>
      </c>
      <c r="O50">
        <f t="shared" ca="1" si="3"/>
        <v>44</v>
      </c>
      <c r="AA50" s="355"/>
    </row>
    <row r="51" spans="1:27" x14ac:dyDescent="0.25">
      <c r="A51" s="351">
        <v>12549</v>
      </c>
      <c r="B51" s="352" t="s">
        <v>507</v>
      </c>
      <c r="C51" s="352" t="s">
        <v>508</v>
      </c>
      <c r="D51" s="353">
        <v>24212</v>
      </c>
      <c r="E51" s="352">
        <v>5</v>
      </c>
      <c r="F51" s="352">
        <v>44040</v>
      </c>
      <c r="G51" s="354">
        <v>8948</v>
      </c>
      <c r="H51" s="354" t="s">
        <v>416</v>
      </c>
      <c r="I51" s="352" t="str">
        <f>VLOOKUP('X בתוך X רופאים'!$E51,[2]התמחויות!$A$2:$B$16,2,0)</f>
        <v>פסיכיאטריה</v>
      </c>
      <c r="J51" s="354">
        <f>'X בתוך X רופאים'!$G51*(1+$A$67)</f>
        <v>10021.76</v>
      </c>
      <c r="K51" s="354">
        <f>'X בתוך X רופאים'!$J51-(VLOOKUP('X בתוך X רופאים'!$J51,$K$64:$N$67,2)*'X בתוך X רופאים'!$J51)</f>
        <v>10021.76</v>
      </c>
      <c r="L51" s="424">
        <f t="shared" ca="1" si="2"/>
        <v>447.36842105263162</v>
      </c>
      <c r="M51" s="318" cm="1">
        <f t="array" aca="1" ref="M51" ca="1">_xlfn.XLOOKUP(O51,'רופאים נתוני עזר'!$A$6:$A$9,_xlfn.XLOOKUP(H51,'רופאים נתוני עזר'!$B$5:$K$5,'רופאים נתוני עזר'!$B$6:$K$9),,-1)</f>
        <v>1700</v>
      </c>
      <c r="N51" s="354">
        <f>'X בתוך X רופאים'!$K51/$T$5</f>
        <v>2505.44</v>
      </c>
      <c r="O51">
        <f t="shared" ca="1" si="3"/>
        <v>60</v>
      </c>
      <c r="AA51" s="355"/>
    </row>
    <row r="52" spans="1:27" x14ac:dyDescent="0.25">
      <c r="A52" s="345">
        <v>12550</v>
      </c>
      <c r="B52" s="346" t="s">
        <v>509</v>
      </c>
      <c r="C52" s="346" t="s">
        <v>510</v>
      </c>
      <c r="D52" s="347">
        <v>30224</v>
      </c>
      <c r="E52" s="346">
        <v>5</v>
      </c>
      <c r="F52" s="346">
        <v>13991</v>
      </c>
      <c r="G52" s="348">
        <v>13540</v>
      </c>
      <c r="H52" s="348" t="s">
        <v>67</v>
      </c>
      <c r="I52" s="346" t="str">
        <f>VLOOKUP('X בתוך X רופאים'!$E52,[2]התמחויות!$A$2:$B$16,2,0)</f>
        <v>פסיכיאטריה</v>
      </c>
      <c r="J52" s="348">
        <f>'X בתוך X רופאים'!$G52*(1+$A$67)</f>
        <v>15164.800000000001</v>
      </c>
      <c r="K52" s="348">
        <f>'X בתוך X רופאים'!$J52-(VLOOKUP('X בתוך X רופאים'!$J52,$K$64:$N$67,2)*'X בתוך X רופאים'!$J52)</f>
        <v>15164.800000000001</v>
      </c>
      <c r="L52" s="424">
        <f t="shared" ca="1" si="2"/>
        <v>500</v>
      </c>
      <c r="M52" s="318" cm="1">
        <f t="array" aca="1" ref="M52" ca="1">_xlfn.XLOOKUP(O52,'רופאים נתוני עזר'!$A$6:$A$9,_xlfn.XLOOKUP(H52,'רופאים נתוני עזר'!$B$5:$K$5,'רופאים נתוני עזר'!$B$6:$K$9),,-1)</f>
        <v>1900</v>
      </c>
      <c r="N52" s="348">
        <f>'X בתוך X רופאים'!$K52/$T$5</f>
        <v>3791.2000000000003</v>
      </c>
      <c r="O52">
        <f t="shared" ca="1" si="3"/>
        <v>44</v>
      </c>
      <c r="AA52" s="355"/>
    </row>
    <row r="53" spans="1:27" x14ac:dyDescent="0.25">
      <c r="A53" s="351">
        <v>12551</v>
      </c>
      <c r="B53" s="352" t="s">
        <v>511</v>
      </c>
      <c r="C53" s="352" t="s">
        <v>512</v>
      </c>
      <c r="D53" s="353">
        <v>24212</v>
      </c>
      <c r="E53" s="352">
        <v>2</v>
      </c>
      <c r="F53" s="352">
        <v>106725</v>
      </c>
      <c r="G53" s="354">
        <v>20772</v>
      </c>
      <c r="H53" s="354" t="s">
        <v>325</v>
      </c>
      <c r="I53" s="352" t="str">
        <f>VLOOKUP('X בתוך X רופאים'!$E53,[2]התמחויות!$A$2:$B$16,2,0)</f>
        <v>כירורגיה כללית</v>
      </c>
      <c r="J53" s="354">
        <f>'X בתוך X רופאים'!$G53*(1+$A$67)</f>
        <v>23264.640000000003</v>
      </c>
      <c r="K53" s="354">
        <f>'X בתוך X רופאים'!$J53-(VLOOKUP('X בתוך X רופאים'!$J53,$K$64:$N$67,2)*'X בתוך X רופאים'!$J53)</f>
        <v>23264.640000000003</v>
      </c>
      <c r="L53" s="424">
        <f t="shared" ca="1" si="2"/>
        <v>578.94736842105272</v>
      </c>
      <c r="M53" s="318" cm="1">
        <f t="array" aca="1" ref="M53" ca="1">_xlfn.XLOOKUP(O53,'רופאים נתוני עזר'!$A$6:$A$9,_xlfn.XLOOKUP(H53,'רופאים נתוני עזר'!$B$5:$K$5,'רופאים נתוני עזר'!$B$6:$K$9),,-1)</f>
        <v>2200</v>
      </c>
      <c r="N53" s="354">
        <f>'X בתוך X רופאים'!$K53/$T$5</f>
        <v>5816.1600000000008</v>
      </c>
      <c r="O53">
        <f t="shared" ca="1" si="3"/>
        <v>60</v>
      </c>
      <c r="AA53" s="355"/>
    </row>
    <row r="54" spans="1:27" x14ac:dyDescent="0.25">
      <c r="A54" s="345">
        <v>12552</v>
      </c>
      <c r="B54" s="346" t="s">
        <v>513</v>
      </c>
      <c r="C54" s="346" t="s">
        <v>514</v>
      </c>
      <c r="D54" s="347">
        <v>30224</v>
      </c>
      <c r="E54" s="346">
        <v>9</v>
      </c>
      <c r="F54" s="346">
        <v>779695</v>
      </c>
      <c r="G54" s="348">
        <v>17867</v>
      </c>
      <c r="H54" s="348" t="s">
        <v>325</v>
      </c>
      <c r="I54" s="346" t="str">
        <f>VLOOKUP('X בתוך X רופאים'!$E54,[2]התמחויות!$A$2:$B$16,2,0)</f>
        <v>רפואה פנימית</v>
      </c>
      <c r="J54" s="348">
        <f>'X בתוך X רופאים'!$G54*(1+$A$67)</f>
        <v>20011.04</v>
      </c>
      <c r="K54" s="348">
        <f>'X בתוך X רופאים'!$J54-(VLOOKUP('X בתוך X רופאים'!$J54,$K$64:$N$67,2)*'X בתוך X רופאים'!$J54)</f>
        <v>20011.04</v>
      </c>
      <c r="L54" s="424">
        <f t="shared" ca="1" si="2"/>
        <v>578.94736842105272</v>
      </c>
      <c r="M54" s="318" cm="1">
        <f t="array" aca="1" ref="M54" ca="1">_xlfn.XLOOKUP(O54,'רופאים נתוני עזר'!$A$6:$A$9,_xlfn.XLOOKUP(H54,'רופאים נתוני עזר'!$B$5:$K$5,'רופאים נתוני עזר'!$B$6:$K$9),,-1)</f>
        <v>2200</v>
      </c>
      <c r="N54" s="348">
        <f>'X בתוך X רופאים'!$K54/$T$5</f>
        <v>5002.76</v>
      </c>
      <c r="O54">
        <f t="shared" ca="1" si="3"/>
        <v>44</v>
      </c>
      <c r="AA54" s="355"/>
    </row>
    <row r="55" spans="1:27" x14ac:dyDescent="0.25">
      <c r="A55" s="351">
        <v>12553</v>
      </c>
      <c r="B55" s="352" t="s">
        <v>496</v>
      </c>
      <c r="C55" s="352" t="s">
        <v>515</v>
      </c>
      <c r="D55" s="353">
        <v>24212</v>
      </c>
      <c r="E55" s="352">
        <v>14</v>
      </c>
      <c r="F55" s="352">
        <v>7775</v>
      </c>
      <c r="G55" s="354">
        <v>21419</v>
      </c>
      <c r="H55" s="354" t="s">
        <v>407</v>
      </c>
      <c r="I55" s="352" t="str">
        <f>VLOOKUP('X בתוך X רופאים'!$E55,[2]התמחויות!$A$2:$B$16,2,0)</f>
        <v>כירורגיה אורולוגית</v>
      </c>
      <c r="J55" s="354">
        <f>'X בתוך X רופאים'!$G55*(1+$A$67)</f>
        <v>23989.280000000002</v>
      </c>
      <c r="K55" s="354">
        <f>'X בתוך X רופאים'!$J55-(VLOOKUP('X בתוך X רופאים'!$J55,$K$64:$N$67,2)*'X בתוך X רופאים'!$J55)</f>
        <v>23989.280000000002</v>
      </c>
      <c r="L55" s="424">
        <f t="shared" ca="1" si="2"/>
        <v>605.26315789473688</v>
      </c>
      <c r="M55" s="318" cm="1">
        <f t="array" aca="1" ref="M55" ca="1">_xlfn.XLOOKUP(O55,'רופאים נתוני עזר'!$A$6:$A$9,_xlfn.XLOOKUP(H55,'רופאים נתוני עזר'!$B$5:$K$5,'רופאים נתוני עזר'!$B$6:$K$9),,-1)</f>
        <v>2300</v>
      </c>
      <c r="N55" s="354">
        <f>'X בתוך X רופאים'!$K55/$T$5</f>
        <v>5997.3200000000006</v>
      </c>
      <c r="O55">
        <f t="shared" ca="1" si="3"/>
        <v>60</v>
      </c>
      <c r="AA55" s="355"/>
    </row>
    <row r="56" spans="1:27" x14ac:dyDescent="0.25">
      <c r="A56" s="345">
        <v>12554</v>
      </c>
      <c r="B56" s="346" t="s">
        <v>496</v>
      </c>
      <c r="C56" s="346" t="s">
        <v>516</v>
      </c>
      <c r="D56" s="347">
        <v>30224</v>
      </c>
      <c r="E56" s="346">
        <v>7</v>
      </c>
      <c r="F56" s="346">
        <v>48479</v>
      </c>
      <c r="G56" s="348">
        <v>24227</v>
      </c>
      <c r="H56" s="348" t="s">
        <v>413</v>
      </c>
      <c r="I56" s="346" t="str">
        <f>VLOOKUP('X בתוך X רופאים'!$E56,[2]התמחויות!$A$2:$B$16,2,0)</f>
        <v>רפואת המשפחה</v>
      </c>
      <c r="J56" s="348">
        <f>'X בתוך X רופאים'!$G56*(1+$A$67)</f>
        <v>27134.240000000002</v>
      </c>
      <c r="K56" s="348">
        <f>'X בתוך X רופאים'!$J56-(VLOOKUP('X בתוך X רופאים'!$J56,$K$64:$N$67,2)*'X בתוך X רופאים'!$J56)</f>
        <v>27134.240000000002</v>
      </c>
      <c r="L56" s="424">
        <f t="shared" ca="1" si="2"/>
        <v>421.0526315789474</v>
      </c>
      <c r="M56" s="318" cm="1">
        <f t="array" aca="1" ref="M56" ca="1">_xlfn.XLOOKUP(O56,'רופאים נתוני עזר'!$A$6:$A$9,_xlfn.XLOOKUP(H56,'רופאים נתוני עזר'!$B$5:$K$5,'רופאים נתוני עזר'!$B$6:$K$9),,-1)</f>
        <v>1600</v>
      </c>
      <c r="N56" s="348">
        <f>'X בתוך X רופאים'!$K56/$T$5</f>
        <v>6783.56</v>
      </c>
      <c r="O56">
        <f t="shared" ca="1" si="3"/>
        <v>44</v>
      </c>
      <c r="AA56" s="355"/>
    </row>
    <row r="57" spans="1:27" x14ac:dyDescent="0.25">
      <c r="A57" s="351">
        <v>12555</v>
      </c>
      <c r="B57" s="352" t="s">
        <v>496</v>
      </c>
      <c r="C57" s="352" t="s">
        <v>517</v>
      </c>
      <c r="D57" s="353">
        <v>24212</v>
      </c>
      <c r="E57" s="352">
        <v>5</v>
      </c>
      <c r="F57" s="352">
        <v>34526</v>
      </c>
      <c r="G57" s="354">
        <v>17236</v>
      </c>
      <c r="H57" s="354" t="s">
        <v>245</v>
      </c>
      <c r="I57" s="352" t="str">
        <f>VLOOKUP('X בתוך X רופאים'!$E57,[2]התמחויות!$A$2:$B$16,2,0)</f>
        <v>פסיכיאטריה</v>
      </c>
      <c r="J57" s="354">
        <f>'X בתוך X רופאים'!$G57*(1+$A$67)</f>
        <v>19304.320000000003</v>
      </c>
      <c r="K57" s="354">
        <f>'X בתוך X רופאים'!$J57-(VLOOKUP('X בתוך X רופאים'!$J57,$K$64:$N$67,2)*'X בתוך X רופאים'!$J57)</f>
        <v>19304.320000000003</v>
      </c>
      <c r="L57" s="424">
        <f t="shared" ca="1" si="2"/>
        <v>552.63157894736844</v>
      </c>
      <c r="M57" s="318" cm="1">
        <f t="array" aca="1" ref="M57" ca="1">_xlfn.XLOOKUP(O57,'רופאים נתוני עזר'!$A$6:$A$9,_xlfn.XLOOKUP(H57,'רופאים נתוני עזר'!$B$5:$K$5,'רופאים נתוני עזר'!$B$6:$K$9),,-1)</f>
        <v>2100</v>
      </c>
      <c r="N57" s="354">
        <f>'X בתוך X רופאים'!$K57/$T$5</f>
        <v>4826.0800000000008</v>
      </c>
      <c r="O57">
        <f t="shared" ca="1" si="3"/>
        <v>60</v>
      </c>
      <c r="AA57" s="355"/>
    </row>
    <row r="58" spans="1:27" x14ac:dyDescent="0.25">
      <c r="A58" s="345">
        <v>12556</v>
      </c>
      <c r="B58" s="346" t="s">
        <v>461</v>
      </c>
      <c r="C58" s="346" t="s">
        <v>518</v>
      </c>
      <c r="D58" s="347">
        <v>30224</v>
      </c>
      <c r="E58" s="346">
        <v>1</v>
      </c>
      <c r="F58" s="346">
        <v>72658</v>
      </c>
      <c r="G58" s="348">
        <v>20006</v>
      </c>
      <c r="H58" s="348" t="s">
        <v>438</v>
      </c>
      <c r="I58" s="346" t="str">
        <f>VLOOKUP('X בתוך X רופאים'!$E58,[2]התמחויות!$A$2:$B$16,2,0)</f>
        <v>רפואת ילדים</v>
      </c>
      <c r="J58" s="348">
        <f>'X בתוך X רופאים'!$G58*(1+$A$67)</f>
        <v>22406.720000000001</v>
      </c>
      <c r="K58" s="348">
        <f>'X בתוך X רופאים'!$J58-(VLOOKUP('X בתוך X רופאים'!$J58,$K$64:$N$67,2)*'X בתוך X רופאים'!$J58)</f>
        <v>22406.720000000001</v>
      </c>
      <c r="L58" s="424">
        <f t="shared" ca="1" si="2"/>
        <v>631.57894736842104</v>
      </c>
      <c r="M58" s="318" cm="1">
        <f t="array" aca="1" ref="M58" ca="1">_xlfn.XLOOKUP(O58,'רופאים נתוני עזר'!$A$6:$A$9,_xlfn.XLOOKUP(H58,'רופאים נתוני עזר'!$B$5:$K$5,'רופאים נתוני עזר'!$B$6:$K$9),,-1)</f>
        <v>2400</v>
      </c>
      <c r="N58" s="348">
        <f>'X בתוך X רופאים'!$K58/$T$5</f>
        <v>5601.68</v>
      </c>
      <c r="O58">
        <f t="shared" ca="1" si="3"/>
        <v>44</v>
      </c>
      <c r="AA58" s="355"/>
    </row>
    <row r="59" spans="1:27" x14ac:dyDescent="0.25">
      <c r="A59" s="351">
        <v>12557</v>
      </c>
      <c r="B59" s="352" t="s">
        <v>519</v>
      </c>
      <c r="C59" s="352" t="s">
        <v>520</v>
      </c>
      <c r="D59" s="353">
        <v>24212</v>
      </c>
      <c r="E59" s="352">
        <v>6</v>
      </c>
      <c r="F59" s="352">
        <v>36754</v>
      </c>
      <c r="G59" s="354">
        <v>10274</v>
      </c>
      <c r="H59" s="354" t="s">
        <v>416</v>
      </c>
      <c r="I59" s="352" t="str">
        <f>VLOOKUP('X בתוך X רופאים'!$E59,[2]התמחויות!$A$2:$B$16,2,0)</f>
        <v>רפואה פיסיקלית ושיקום</v>
      </c>
      <c r="J59" s="354">
        <f>'X בתוך X רופאים'!$G59*(1+$A$67)</f>
        <v>11506.880000000001</v>
      </c>
      <c r="K59" s="354">
        <f>'X בתוך X רופאים'!$J59-(VLOOKUP('X בתוך X רופאים'!$J59,$K$64:$N$67,2)*'X בתוך X רופאים'!$J59)</f>
        <v>11506.880000000001</v>
      </c>
      <c r="L59" s="424">
        <f t="shared" ca="1" si="2"/>
        <v>447.36842105263162</v>
      </c>
      <c r="M59" s="318" cm="1">
        <f t="array" aca="1" ref="M59" ca="1">_xlfn.XLOOKUP(O59,'רופאים נתוני עזר'!$A$6:$A$9,_xlfn.XLOOKUP(H59,'רופאים נתוני עזר'!$B$5:$K$5,'רופאים נתוני עזר'!$B$6:$K$9),,-1)</f>
        <v>1700</v>
      </c>
      <c r="N59" s="354">
        <f>'X בתוך X רופאים'!$K59/$T$5</f>
        <v>2876.7200000000003</v>
      </c>
      <c r="O59">
        <f t="shared" ca="1" si="3"/>
        <v>60</v>
      </c>
      <c r="AA59" s="355"/>
    </row>
    <row r="60" spans="1:27" x14ac:dyDescent="0.25">
      <c r="A60" s="340">
        <v>12558</v>
      </c>
      <c r="B60" s="326" t="s">
        <v>521</v>
      </c>
      <c r="C60" s="326" t="s">
        <v>522</v>
      </c>
      <c r="D60" s="356">
        <v>30224</v>
      </c>
      <c r="E60" s="326">
        <v>3</v>
      </c>
      <c r="F60" s="326">
        <v>258965</v>
      </c>
      <c r="G60" s="357">
        <v>15519</v>
      </c>
      <c r="H60" s="357" t="s">
        <v>67</v>
      </c>
      <c r="I60" s="326" t="str">
        <f>VLOOKUP('X בתוך X רופאים'!$E60,[2]התמחויות!$A$2:$B$16,2,0)</f>
        <v>הרדמה</v>
      </c>
      <c r="J60" s="357">
        <f>'X בתוך X רופאים'!$G60*(1+$A$67)</f>
        <v>17381.280000000002</v>
      </c>
      <c r="K60" s="357">
        <f>'X בתוך X רופאים'!$J60-(VLOOKUP('X בתוך X רופאים'!$J60,$K$64:$N$67,2)*'X בתוך X רופאים'!$J60)</f>
        <v>17381.280000000002</v>
      </c>
      <c r="L60" s="424">
        <f t="shared" ca="1" si="2"/>
        <v>500</v>
      </c>
      <c r="M60" s="318" cm="1">
        <f t="array" aca="1" ref="M60" ca="1">_xlfn.XLOOKUP(O60,'רופאים נתוני עזר'!$A$6:$A$9,_xlfn.XLOOKUP(H60,'רופאים נתוני עזר'!$B$5:$K$5,'רופאים נתוני עזר'!$B$6:$K$9),,-1)</f>
        <v>1900</v>
      </c>
      <c r="N60" s="357">
        <f>'X בתוך X רופאים'!$K60/$T$5</f>
        <v>4345.3200000000006</v>
      </c>
      <c r="O60">
        <f t="shared" ca="1" si="3"/>
        <v>44</v>
      </c>
      <c r="AA60" s="423"/>
    </row>
    <row r="61" spans="1:27" ht="14.4" x14ac:dyDescent="0.25">
      <c r="E61" s="329"/>
    </row>
    <row r="62" spans="1:27" ht="14.4" x14ac:dyDescent="0.25">
      <c r="E62" s="329"/>
    </row>
    <row r="63" spans="1:27" x14ac:dyDescent="0.25">
      <c r="K63" s="330" t="s">
        <v>38</v>
      </c>
      <c r="N63" s="332" t="s">
        <v>524</v>
      </c>
      <c r="AA63" s="331"/>
    </row>
    <row r="64" spans="1:27" x14ac:dyDescent="0.25">
      <c r="K64" s="333">
        <v>0</v>
      </c>
      <c r="N64" s="335">
        <v>0</v>
      </c>
      <c r="AA64" s="334"/>
    </row>
    <row r="65" spans="1:27" x14ac:dyDescent="0.25">
      <c r="K65" s="333">
        <v>5000</v>
      </c>
      <c r="N65" s="335">
        <f>N64+(K65-K64)*AA64</f>
        <v>0</v>
      </c>
      <c r="AA65" s="334"/>
    </row>
    <row r="66" spans="1:27" x14ac:dyDescent="0.25">
      <c r="K66" s="333">
        <v>9000</v>
      </c>
      <c r="N66" s="335">
        <f>N65+(K66-K65)*AA65</f>
        <v>0</v>
      </c>
      <c r="AA66" s="334"/>
    </row>
    <row r="67" spans="1:27" x14ac:dyDescent="0.25">
      <c r="A67" s="320">
        <v>0.12</v>
      </c>
      <c r="K67" s="336">
        <v>15000</v>
      </c>
      <c r="N67" s="338">
        <f>N66+(K67-K66)*AA66</f>
        <v>0</v>
      </c>
      <c r="AA67" s="337"/>
    </row>
    <row r="69" spans="1:27" x14ac:dyDescent="0.25">
      <c r="A69" s="339" t="s">
        <v>525</v>
      </c>
      <c r="B69" s="339"/>
    </row>
    <row r="70" spans="1:27" x14ac:dyDescent="0.25">
      <c r="A70" t="str">
        <f>_xlfn.XLOOKUP(MIN('X בתוך X רופאים'!$D$2:$D$60),'X בתוך X רופאים'!$D$2:$D$60,'X בתוך X רופאים'!$B$2:$B$60,,0)</f>
        <v>אורן</v>
      </c>
      <c r="B70" t="str">
        <f>_xlfn.XLOOKUP(MIN('X בתוך X רופאים'!$D$2:$D$60),'X בתוך X רופאים'!$D$2:$D$60,'X בתוך X רופאים'!$C$2:$C$60,,0)</f>
        <v>בר</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607B-C971-4934-81BF-E310E74DB65C}">
  <dimension ref="A3:K9"/>
  <sheetViews>
    <sheetView rightToLeft="1" workbookViewId="0">
      <selection activeCell="E43" sqref="E43"/>
    </sheetView>
  </sheetViews>
  <sheetFormatPr defaultRowHeight="13.8" x14ac:dyDescent="0.25"/>
  <cols>
    <col min="2" max="2" width="14.19921875" customWidth="1"/>
    <col min="3" max="3" width="12.19921875" customWidth="1"/>
    <col min="4" max="4" width="20.09765625" customWidth="1"/>
    <col min="5" max="5" width="13.59765625" customWidth="1"/>
    <col min="6" max="6" width="17" customWidth="1"/>
    <col min="7" max="7" width="13.09765625" customWidth="1"/>
    <col min="8" max="9" width="14.69921875" customWidth="1"/>
    <col min="10" max="10" width="15.59765625" customWidth="1"/>
    <col min="11" max="11" width="21.09765625" customWidth="1"/>
  </cols>
  <sheetData>
    <row r="3" spans="1:11" x14ac:dyDescent="0.25">
      <c r="A3" t="s">
        <v>550</v>
      </c>
    </row>
    <row r="5" spans="1:11" ht="27.6" x14ac:dyDescent="0.25">
      <c r="A5" s="377" t="s">
        <v>551</v>
      </c>
      <c r="B5" s="382" t="s">
        <v>410</v>
      </c>
      <c r="C5" s="383" t="s">
        <v>413</v>
      </c>
      <c r="D5" s="382" t="s">
        <v>416</v>
      </c>
      <c r="E5" s="383" t="s">
        <v>419</v>
      </c>
      <c r="F5" s="382" t="s">
        <v>67</v>
      </c>
      <c r="G5" s="383" t="s">
        <v>66</v>
      </c>
      <c r="H5" s="382" t="s">
        <v>245</v>
      </c>
      <c r="I5" s="383" t="s">
        <v>325</v>
      </c>
      <c r="J5" s="383" t="s">
        <v>407</v>
      </c>
      <c r="K5" s="382" t="s">
        <v>438</v>
      </c>
    </row>
    <row r="6" spans="1:11" x14ac:dyDescent="0.25">
      <c r="A6" s="384">
        <v>0</v>
      </c>
      <c r="B6" s="381">
        <v>650</v>
      </c>
      <c r="C6" s="381">
        <v>670</v>
      </c>
      <c r="D6" s="381">
        <v>690</v>
      </c>
      <c r="E6" s="381">
        <v>710</v>
      </c>
      <c r="F6" s="381">
        <v>730</v>
      </c>
      <c r="G6" s="381">
        <v>750</v>
      </c>
      <c r="H6" s="381">
        <v>770</v>
      </c>
      <c r="I6" s="381">
        <v>790</v>
      </c>
      <c r="J6" s="381">
        <v>810</v>
      </c>
      <c r="K6" s="381">
        <v>830</v>
      </c>
    </row>
    <row r="7" spans="1:11" x14ac:dyDescent="0.25">
      <c r="A7" s="384">
        <v>10</v>
      </c>
      <c r="B7" s="381">
        <v>860</v>
      </c>
      <c r="C7" s="381">
        <v>870</v>
      </c>
      <c r="D7" s="381">
        <v>880</v>
      </c>
      <c r="E7" s="381">
        <v>890</v>
      </c>
      <c r="F7" s="381">
        <v>900</v>
      </c>
      <c r="G7" s="381">
        <v>910</v>
      </c>
      <c r="H7" s="381">
        <v>920</v>
      </c>
      <c r="I7" s="381">
        <v>930</v>
      </c>
      <c r="J7" s="381">
        <v>940</v>
      </c>
      <c r="K7" s="381">
        <v>950</v>
      </c>
    </row>
    <row r="8" spans="1:11" x14ac:dyDescent="0.25">
      <c r="A8" s="384">
        <v>30</v>
      </c>
      <c r="B8" s="381">
        <v>1000</v>
      </c>
      <c r="C8" s="381">
        <v>1050</v>
      </c>
      <c r="D8" s="381">
        <v>1100</v>
      </c>
      <c r="E8" s="381">
        <v>1150</v>
      </c>
      <c r="F8" s="381">
        <v>1200</v>
      </c>
      <c r="G8" s="381">
        <v>1250</v>
      </c>
      <c r="H8" s="381">
        <v>1300</v>
      </c>
      <c r="I8" s="381">
        <v>1350</v>
      </c>
      <c r="J8" s="381">
        <v>1400</v>
      </c>
      <c r="K8" s="381">
        <v>1450</v>
      </c>
    </row>
    <row r="9" spans="1:11" x14ac:dyDescent="0.25">
      <c r="A9" s="384">
        <v>40</v>
      </c>
      <c r="B9" s="381">
        <v>1500</v>
      </c>
      <c r="C9" s="381">
        <v>1600</v>
      </c>
      <c r="D9" s="381">
        <v>1700</v>
      </c>
      <c r="E9" s="381">
        <v>1800</v>
      </c>
      <c r="F9" s="381">
        <v>1900</v>
      </c>
      <c r="G9" s="381">
        <v>2000</v>
      </c>
      <c r="H9" s="381">
        <v>2100</v>
      </c>
      <c r="I9" s="381">
        <v>2200</v>
      </c>
      <c r="J9" s="381">
        <v>2300</v>
      </c>
      <c r="K9" s="381">
        <v>2400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055B-4415-4C97-A291-8EF0DFE14A67}">
  <dimension ref="A1:Y70"/>
  <sheetViews>
    <sheetView rightToLeft="1" topLeftCell="C1" zoomScale="85" zoomScaleNormal="85" workbookViewId="0">
      <selection activeCell="F44" sqref="F44"/>
    </sheetView>
  </sheetViews>
  <sheetFormatPr defaultColWidth="8.796875" defaultRowHeight="13.8" x14ac:dyDescent="0.25"/>
  <cols>
    <col min="1" max="1" width="13.796875" customWidth="1"/>
    <col min="2" max="2" width="9.69921875" customWidth="1"/>
    <col min="3" max="3" width="11.796875" customWidth="1"/>
    <col min="4" max="4" width="17" customWidth="1"/>
    <col min="5" max="5" width="18.19921875" customWidth="1"/>
    <col min="6" max="6" width="11.69921875" customWidth="1"/>
    <col min="7" max="7" width="11.69921875" bestFit="1" customWidth="1"/>
    <col min="8" max="8" width="11.69921875" customWidth="1"/>
    <col min="9" max="9" width="24" customWidth="1"/>
    <col min="10" max="12" width="12" customWidth="1"/>
    <col min="15" max="15" width="18.796875" style="410" customWidth="1"/>
    <col min="16" max="16" width="12.09765625" bestFit="1" customWidth="1"/>
    <col min="17" max="17" width="12" customWidth="1"/>
    <col min="18" max="18" width="14.69921875" bestFit="1" customWidth="1"/>
    <col min="23" max="24" width="14.3984375" bestFit="1" customWidth="1"/>
    <col min="25" max="25" width="12" bestFit="1" customWidth="1"/>
  </cols>
  <sheetData>
    <row r="1" spans="1:25" ht="35.25" customHeight="1" x14ac:dyDescent="0.25">
      <c r="A1" s="341" t="s">
        <v>391</v>
      </c>
      <c r="B1" s="342" t="s">
        <v>392</v>
      </c>
      <c r="C1" s="342" t="s">
        <v>393</v>
      </c>
      <c r="D1" s="342" t="s">
        <v>394</v>
      </c>
      <c r="E1" s="342" t="s">
        <v>395</v>
      </c>
      <c r="F1" s="342" t="s">
        <v>396</v>
      </c>
      <c r="G1" s="342" t="s">
        <v>38</v>
      </c>
      <c r="H1" s="342" t="s">
        <v>397</v>
      </c>
      <c r="I1" s="342" t="s">
        <v>398</v>
      </c>
      <c r="J1" s="342" t="s">
        <v>399</v>
      </c>
      <c r="K1" s="343" t="s">
        <v>400</v>
      </c>
      <c r="L1" s="342" t="s">
        <v>401</v>
      </c>
      <c r="M1" s="342" t="s">
        <v>402</v>
      </c>
      <c r="N1" s="344" t="s">
        <v>403</v>
      </c>
      <c r="O1" s="406" t="s">
        <v>577</v>
      </c>
      <c r="P1" s="406" t="s">
        <v>578</v>
      </c>
      <c r="X1" t="s">
        <v>404</v>
      </c>
      <c r="Y1" s="317">
        <f>DAVERAGE('IF בתוך IF רופאים'!$A$1:$N$60,'IF בתוך IF רופאים'!$K$1,V14:Y16)</f>
        <v>12734.773333333336</v>
      </c>
    </row>
    <row r="2" spans="1:25" x14ac:dyDescent="0.25">
      <c r="A2" s="345">
        <v>12500</v>
      </c>
      <c r="B2" s="346" t="s">
        <v>405</v>
      </c>
      <c r="C2" s="346" t="s">
        <v>406</v>
      </c>
      <c r="D2" s="347">
        <v>33557</v>
      </c>
      <c r="E2" s="346">
        <v>1</v>
      </c>
      <c r="F2" s="346">
        <v>77503</v>
      </c>
      <c r="G2" s="348">
        <v>12543</v>
      </c>
      <c r="H2" s="348" t="s">
        <v>407</v>
      </c>
      <c r="I2" s="346" t="str">
        <f>VLOOKUP('IF בתוך IF רופאים'!$E2,[2]התמחויות!$A$2:$B$16,2,0)</f>
        <v>רפואת ילדים</v>
      </c>
      <c r="J2" s="348">
        <f>'IF בתוך IF רופאים'!$G2*(1+$A$67)</f>
        <v>14048.160000000002</v>
      </c>
      <c r="K2" s="348">
        <f>'IF בתוך IF רופאים'!$J2-(VLOOKUP('IF בתוך IF רופאים'!$J2,$K$64:$M$67,2)*'IF בתוך IF רופאים'!$J2)</f>
        <v>10536.12</v>
      </c>
      <c r="L2" s="349">
        <f ca="1">VLOOKUP(YEAR(TODAY())-YEAR('IF בתוך IF רופאים'!$D2),'[2]נתונים נוספים'!$A$5:$K$9,VLOOKUP('IF בתוך IF רופאים'!$H2,'[2]נתונים נוספים'!$N$5:$O$14,2,0),1)/$U$10</f>
        <v>368.42105263157896</v>
      </c>
      <c r="M2" s="348">
        <f>'IF בתוך IF רופאים'!$K2/$U$5</f>
        <v>2634.03</v>
      </c>
      <c r="N2" s="350">
        <f>IF(OR(H2=$R$22,H2=$T$22),P2,IF(OR(H2=$R$27,H2=$T$27),O2,$S$34))</f>
        <v>4</v>
      </c>
      <c r="O2" s="409">
        <f>IF(YEAR(D2)&lt;$R$29,$S$29,IF(YEAR(D2)&lt;=$R$30,$S$30,$S$31))</f>
        <v>5</v>
      </c>
      <c r="P2" s="408">
        <f>IF(G2&lt;=$R$23,$S$23,$S$24)</f>
        <v>4</v>
      </c>
    </row>
    <row r="3" spans="1:25" x14ac:dyDescent="0.25">
      <c r="A3" s="351">
        <v>12501</v>
      </c>
      <c r="B3" s="352" t="s">
        <v>408</v>
      </c>
      <c r="C3" s="352" t="s">
        <v>409</v>
      </c>
      <c r="D3" s="353">
        <v>28872</v>
      </c>
      <c r="E3" s="352">
        <v>2</v>
      </c>
      <c r="F3" s="352">
        <v>21170</v>
      </c>
      <c r="G3" s="354">
        <v>21559</v>
      </c>
      <c r="H3" s="354" t="s">
        <v>410</v>
      </c>
      <c r="I3" s="352" t="str">
        <f>VLOOKUP('IF בתוך IF רופאים'!$E3,[2]התמחויות!$A$2:$B$16,2,0)</f>
        <v>כירורגיה כללית</v>
      </c>
      <c r="J3" s="354">
        <f>'IF בתוך IF רופאים'!$G3*(1+$A$67)</f>
        <v>24146.080000000002</v>
      </c>
      <c r="K3" s="354">
        <f>'IF בתוך IF רופאים'!$J3-(VLOOKUP('IF בתוך IF רופאים'!$J3,$K$64:$M$67,2)*'IF בתוך IF רופאים'!$J3)</f>
        <v>16902.256000000001</v>
      </c>
      <c r="L3" s="355">
        <f ca="1">VLOOKUP(YEAR(TODAY())-YEAR('IF בתוך IF רופאים'!$D3),'[2]נתונים נוספים'!$A$5:$K$9,VLOOKUP('IF בתוך IF רופאים'!$H3,'[2]נתונים נוספים'!$N$5:$O$14,2,0),1)/$U$10</f>
        <v>394.73684210526318</v>
      </c>
      <c r="M3" s="354">
        <f>'IF בתוך IF רופאים'!$K3/$U$5</f>
        <v>4225.5640000000003</v>
      </c>
      <c r="N3" s="350">
        <f t="shared" ref="N3:N60" si="0">IF(OR(H3=$R$22,H3=$T$22),P3,IF(OR(H3=$R$27,H3=$T$27),O3,$S$34))</f>
        <v>2</v>
      </c>
      <c r="O3" s="409">
        <f t="shared" ref="O3:O60" si="1">IF(YEAR(D3)&lt;$R$29,$S$29,IF(YEAR(D3)&lt;=$R$30,$S$30,$S$31))</f>
        <v>6</v>
      </c>
      <c r="P3" s="408">
        <f t="shared" ref="P3:P60" si="2">IF(G3&lt;=$R$23,$S$23,$S$24)</f>
        <v>4</v>
      </c>
    </row>
    <row r="4" spans="1:25" x14ac:dyDescent="0.25">
      <c r="A4" s="345">
        <v>12502</v>
      </c>
      <c r="B4" s="346" t="s">
        <v>411</v>
      </c>
      <c r="C4" s="346" t="s">
        <v>412</v>
      </c>
      <c r="D4" s="347">
        <v>33287</v>
      </c>
      <c r="E4" s="346">
        <v>3</v>
      </c>
      <c r="F4" s="346">
        <v>19941</v>
      </c>
      <c r="G4" s="348">
        <v>15825</v>
      </c>
      <c r="H4" s="348" t="s">
        <v>413</v>
      </c>
      <c r="I4" s="346" t="str">
        <f>VLOOKUP('IF בתוך IF רופאים'!$E4,[2]התמחויות!$A$2:$B$16,2,0)</f>
        <v>הרדמה</v>
      </c>
      <c r="J4" s="348">
        <f>'IF בתוך IF רופאים'!$G4*(1+$A$67)</f>
        <v>17724</v>
      </c>
      <c r="K4" s="348">
        <f>'IF בתוך IF רופאים'!$J4-(VLOOKUP('IF בתוך IF רופאים'!$J4,$K$64:$M$67,2)*'IF בתוך IF רופאים'!$J4)</f>
        <v>12406.8</v>
      </c>
      <c r="L4" s="349">
        <f ca="1">VLOOKUP(YEAR(TODAY())-YEAR('IF בתוך IF רופאים'!$D4),'[2]נתונים נוספים'!$A$5:$K$9,VLOOKUP('IF בתוך IF רופאים'!$H4,'[2]נתונים נוספים'!$N$5:$O$14,2,0),1)/$U$10</f>
        <v>276.31578947368422</v>
      </c>
      <c r="M4" s="348">
        <f>'IF בתוך IF רופאים'!$K4/$U$5</f>
        <v>3101.7</v>
      </c>
      <c r="N4" s="350">
        <f t="shared" si="0"/>
        <v>5</v>
      </c>
      <c r="O4" s="409">
        <f t="shared" si="1"/>
        <v>5</v>
      </c>
      <c r="P4" s="408">
        <f t="shared" si="2"/>
        <v>4</v>
      </c>
      <c r="X4" t="s">
        <v>414</v>
      </c>
    </row>
    <row r="5" spans="1:25" x14ac:dyDescent="0.25">
      <c r="A5" s="351">
        <v>12503</v>
      </c>
      <c r="B5" s="352" t="s">
        <v>411</v>
      </c>
      <c r="C5" s="352" t="s">
        <v>415</v>
      </c>
      <c r="D5" s="353">
        <v>34161</v>
      </c>
      <c r="E5" s="352">
        <v>4</v>
      </c>
      <c r="F5" s="352">
        <v>35081</v>
      </c>
      <c r="G5" s="354">
        <v>23325</v>
      </c>
      <c r="H5" s="354" t="s">
        <v>416</v>
      </c>
      <c r="I5" s="352" t="str">
        <f>VLOOKUP('IF בתוך IF רופאים'!$E5,[2]התמחויות!$A$2:$B$16,2,0)</f>
        <v>המטולוגיה</v>
      </c>
      <c r="J5" s="354">
        <f>'IF בתוך IF רופאים'!$G5*(1+$A$67)</f>
        <v>26124.000000000004</v>
      </c>
      <c r="K5" s="354">
        <f>'IF בתוך IF רופאים'!$J5-(VLOOKUP('IF בתוך IF רופאים'!$J5,$K$64:$M$67,2)*'IF בתוך IF רופאים'!$J5)</f>
        <v>18286.800000000003</v>
      </c>
      <c r="L5" s="355">
        <f ca="1">VLOOKUP(YEAR(TODAY())-YEAR('IF בתוך IF רופאים'!$D5),'[2]נתונים נוספים'!$A$5:$K$9,VLOOKUP('IF בתוך IF רופאים'!$H5,'[2]נתונים נוספים'!$N$5:$O$14,2,0),1)/$U$10</f>
        <v>289.47368421052636</v>
      </c>
      <c r="M5" s="354">
        <f>'IF בתוך IF רופאים'!$K5/$U$5</f>
        <v>4571.7000000000007</v>
      </c>
      <c r="N5" s="350">
        <f t="shared" si="0"/>
        <v>5</v>
      </c>
      <c r="O5" s="409">
        <f t="shared" si="1"/>
        <v>5</v>
      </c>
      <c r="P5" s="408">
        <f t="shared" si="2"/>
        <v>4</v>
      </c>
      <c r="U5">
        <v>4</v>
      </c>
      <c r="Y5" s="318"/>
    </row>
    <row r="6" spans="1:25" x14ac:dyDescent="0.25">
      <c r="A6" s="345">
        <v>12504</v>
      </c>
      <c r="B6" s="346" t="s">
        <v>417</v>
      </c>
      <c r="C6" s="346" t="s">
        <v>418</v>
      </c>
      <c r="D6" s="347">
        <v>32830</v>
      </c>
      <c r="E6" s="346">
        <v>5</v>
      </c>
      <c r="F6" s="346">
        <v>32385</v>
      </c>
      <c r="G6" s="348">
        <v>17386</v>
      </c>
      <c r="H6" s="348" t="s">
        <v>419</v>
      </c>
      <c r="I6" s="346" t="str">
        <f>VLOOKUP('IF בתוך IF רופאים'!$E6,[2]התמחויות!$A$2:$B$16,2,0)</f>
        <v>פסיכיאטריה</v>
      </c>
      <c r="J6" s="348">
        <f>'IF בתוך IF רופאים'!$G6*(1+$A$67)</f>
        <v>19472.320000000003</v>
      </c>
      <c r="K6" s="348">
        <f>'IF בתוך IF רופאים'!$J6-(VLOOKUP('IF בתוך IF רופאים'!$J6,$K$64:$M$67,2)*'IF בתוך IF רופאים'!$J6)</f>
        <v>13630.624000000003</v>
      </c>
      <c r="L6" s="349">
        <f ca="1">VLOOKUP(YEAR(TODAY())-YEAR('IF בתוך IF רופאים'!$D6),'[2]נתונים נוספים'!$A$5:$K$9,VLOOKUP('IF בתוך IF רופאים'!$H6,'[2]נתונים נוספים'!$N$5:$O$14,2,0),1)/$U$10</f>
        <v>302.63157894736844</v>
      </c>
      <c r="M6" s="348">
        <f>'IF בתוך IF רופאים'!$K6/$U$5</f>
        <v>3407.6560000000009</v>
      </c>
      <c r="N6" s="350">
        <f t="shared" si="0"/>
        <v>2</v>
      </c>
      <c r="O6" s="409">
        <f t="shared" si="1"/>
        <v>5</v>
      </c>
      <c r="P6" s="408">
        <f t="shared" si="2"/>
        <v>4</v>
      </c>
      <c r="U6">
        <v>3000</v>
      </c>
      <c r="Y6" s="319">
        <f>Y1</f>
        <v>12734.773333333336</v>
      </c>
    </row>
    <row r="7" spans="1:25" x14ac:dyDescent="0.25">
      <c r="A7" s="351">
        <v>12505</v>
      </c>
      <c r="B7" s="352" t="s">
        <v>420</v>
      </c>
      <c r="C7" s="352" t="s">
        <v>421</v>
      </c>
      <c r="D7" s="353">
        <v>27386</v>
      </c>
      <c r="E7" s="352">
        <v>1</v>
      </c>
      <c r="F7" s="352">
        <v>3435</v>
      </c>
      <c r="G7" s="354">
        <v>23904</v>
      </c>
      <c r="H7" s="354" t="s">
        <v>67</v>
      </c>
      <c r="I7" s="352" t="str">
        <f>VLOOKUP('IF בתוך IF רופאים'!$E7,[2]התמחויות!$A$2:$B$16,2,0)</f>
        <v>רפואת ילדים</v>
      </c>
      <c r="J7" s="354">
        <f>'IF בתוך IF רופאים'!$G7*(1+$A$67)</f>
        <v>26772.480000000003</v>
      </c>
      <c r="K7" s="354">
        <f>'IF בתוך IF רופאים'!$J7-(VLOOKUP('IF בתוך IF רופאים'!$J7,$K$64:$M$67,2)*'IF בתוך IF רופאים'!$J7)</f>
        <v>18740.736000000004</v>
      </c>
      <c r="L7" s="355">
        <f ca="1">VLOOKUP(YEAR(TODAY())-YEAR('IF בתוך IF רופאים'!$D7),'[2]נתונים נוספים'!$A$5:$K$9,VLOOKUP('IF בתוך IF רופאים'!$H7,'[2]נתונים נוספים'!$N$5:$O$14,2,0),1)/$U$10</f>
        <v>500</v>
      </c>
      <c r="M7" s="354">
        <f>'IF בתוך IF רופאים'!$K7/$U$5</f>
        <v>4685.1840000000011</v>
      </c>
      <c r="N7" s="350">
        <f t="shared" si="0"/>
        <v>2</v>
      </c>
      <c r="O7" s="409">
        <f t="shared" si="1"/>
        <v>6</v>
      </c>
      <c r="P7" s="408">
        <f t="shared" si="2"/>
        <v>4</v>
      </c>
      <c r="X7" s="320">
        <v>0.19</v>
      </c>
      <c r="Y7">
        <f t="dataTable" ref="Y7:Y11" dt2D="0" dtr="0" r1="L65"/>
        <v>12734.773333333336</v>
      </c>
    </row>
    <row r="8" spans="1:25" x14ac:dyDescent="0.25">
      <c r="A8" s="345">
        <v>12506</v>
      </c>
      <c r="B8" s="346" t="s">
        <v>422</v>
      </c>
      <c r="C8" s="346" t="s">
        <v>423</v>
      </c>
      <c r="D8" s="347">
        <v>25020</v>
      </c>
      <c r="E8" s="346">
        <v>6</v>
      </c>
      <c r="F8" s="346">
        <v>1396681</v>
      </c>
      <c r="G8" s="348">
        <v>8498</v>
      </c>
      <c r="H8" s="348" t="s">
        <v>66</v>
      </c>
      <c r="I8" s="346" t="str">
        <f>VLOOKUP('IF בתוך IF רופאים'!$E8,[2]התמחויות!$A$2:$B$16,2,0)</f>
        <v>רפואה פיסיקלית ושיקום</v>
      </c>
      <c r="J8" s="348">
        <f>'IF בתוך IF רופאים'!$G8*(1+$A$67)</f>
        <v>9517.76</v>
      </c>
      <c r="K8" s="348">
        <f>'IF בתוך IF רופאים'!$J8-(VLOOKUP('IF בתוך IF רופאים'!$J8,$K$64:$M$67,2)*'IF בתוך IF רופאים'!$J8)</f>
        <v>7138.32</v>
      </c>
      <c r="L8" s="349">
        <f ca="1">VLOOKUP(YEAR(TODAY())-YEAR('IF בתוך IF רופאים'!$D8),'[2]נתונים נוספים'!$A$5:$K$9,VLOOKUP('IF בתוך IF רופאים'!$H8,'[2]נתונים נוספים'!$N$5:$O$14,2,0),1)/$U$10</f>
        <v>526.31578947368428</v>
      </c>
      <c r="M8" s="348">
        <f>'IF בתוך IF רופאים'!$K8/$U$5</f>
        <v>1784.58</v>
      </c>
      <c r="N8" s="350">
        <f t="shared" si="0"/>
        <v>2</v>
      </c>
      <c r="O8" s="409">
        <f t="shared" si="1"/>
        <v>6</v>
      </c>
      <c r="P8" s="408">
        <f t="shared" si="2"/>
        <v>3</v>
      </c>
      <c r="U8" t="b">
        <f>AND(OR(I2=$U$3,I2=$U$4),YEAR(D2)&gt;=$U$1,YEAR(D2)&lt;=$U$2,K2/$U$5&gt;$U$6)</f>
        <v>0</v>
      </c>
      <c r="X8" s="321">
        <v>0.2</v>
      </c>
      <c r="Y8" s="322">
        <v>12734.773333333336</v>
      </c>
    </row>
    <row r="9" spans="1:25" x14ac:dyDescent="0.25">
      <c r="A9" s="351">
        <v>12507</v>
      </c>
      <c r="B9" s="352" t="s">
        <v>410</v>
      </c>
      <c r="C9" s="352" t="s">
        <v>424</v>
      </c>
      <c r="D9" s="353">
        <v>24800</v>
      </c>
      <c r="E9" s="352">
        <v>3</v>
      </c>
      <c r="F9" s="352">
        <v>53299</v>
      </c>
      <c r="G9" s="354">
        <v>22842</v>
      </c>
      <c r="H9" s="354" t="s">
        <v>245</v>
      </c>
      <c r="I9" s="352" t="str">
        <f>VLOOKUP('IF בתוך IF רופאים'!$E9,[2]התמחויות!$A$2:$B$16,2,0)</f>
        <v>הרדמה</v>
      </c>
      <c r="J9" s="354">
        <f>'IF בתוך IF רופאים'!$G9*(1+$A$67)</f>
        <v>25583.040000000001</v>
      </c>
      <c r="K9" s="354">
        <f>'IF בתוך IF רופאים'!$J9-(VLOOKUP('IF בתוך IF רופאים'!$J9,$K$64:$M$67,2)*'IF בתוך IF רופאים'!$J9)</f>
        <v>17908.128000000001</v>
      </c>
      <c r="L9" s="355">
        <f ca="1">VLOOKUP(YEAR(TODAY())-YEAR('IF בתוך IF רופאים'!$D9),'[2]נתונים נוספים'!$A$5:$K$9,VLOOKUP('IF בתוך IF רופאים'!$H9,'[2]נתונים נוספים'!$N$5:$O$14,2,0),1)/$U$10</f>
        <v>552.63157894736844</v>
      </c>
      <c r="M9" s="354">
        <f>'IF בתוך IF רופאים'!$K9/$U$5</f>
        <v>4477.0320000000002</v>
      </c>
      <c r="N9" s="350">
        <f t="shared" si="0"/>
        <v>2</v>
      </c>
      <c r="O9" s="409">
        <f t="shared" si="1"/>
        <v>6</v>
      </c>
      <c r="P9" s="408">
        <f t="shared" si="2"/>
        <v>4</v>
      </c>
      <c r="X9" s="320">
        <v>0.21</v>
      </c>
      <c r="Y9">
        <v>12734.773333333336</v>
      </c>
    </row>
    <row r="10" spans="1:25" x14ac:dyDescent="0.25">
      <c r="A10" s="345">
        <v>12508</v>
      </c>
      <c r="B10" s="346" t="s">
        <v>425</v>
      </c>
      <c r="C10" s="346" t="s">
        <v>426</v>
      </c>
      <c r="D10" s="347">
        <v>25915</v>
      </c>
      <c r="E10" s="346">
        <v>7</v>
      </c>
      <c r="F10" s="346">
        <v>86997</v>
      </c>
      <c r="G10" s="348">
        <v>9985</v>
      </c>
      <c r="H10" s="348" t="s">
        <v>325</v>
      </c>
      <c r="I10" s="346" t="str">
        <f>VLOOKUP('IF בתוך IF רופאים'!$E10,[2]התמחויות!$A$2:$B$16,2,0)</f>
        <v>רפואת המשפחה</v>
      </c>
      <c r="J10" s="348">
        <f>'IF בתוך IF רופאים'!$G10*(1+$A$67)</f>
        <v>11183.2</v>
      </c>
      <c r="K10" s="348">
        <f>'IF בתוך IF רופאים'!$J10-(VLOOKUP('IF בתוך IF רופאים'!$J10,$K$64:$M$67,2)*'IF בתוך IF רופאים'!$J10)</f>
        <v>8387.4000000000015</v>
      </c>
      <c r="L10" s="349">
        <f ca="1">VLOOKUP(YEAR(TODAY())-YEAR('IF בתוך IF רופאים'!$D10),'[2]נתונים נוספים'!$A$5:$K$9,VLOOKUP('IF בתוך IF רופאים'!$H10,'[2]נתונים נוספים'!$N$5:$O$14,2,0),1)/$U$10</f>
        <v>578.94736842105272</v>
      </c>
      <c r="M10" s="348">
        <f>'IF בתוך IF רופאים'!$K10/$U$5</f>
        <v>2096.8500000000004</v>
      </c>
      <c r="N10" s="350">
        <f t="shared" si="0"/>
        <v>4</v>
      </c>
      <c r="O10" s="409">
        <f t="shared" si="1"/>
        <v>6</v>
      </c>
      <c r="P10" s="408">
        <f t="shared" si="2"/>
        <v>4</v>
      </c>
      <c r="U10">
        <v>3.8</v>
      </c>
      <c r="X10" s="320">
        <v>0.22</v>
      </c>
      <c r="Y10">
        <v>12734.773333333336</v>
      </c>
    </row>
    <row r="11" spans="1:25" x14ac:dyDescent="0.25">
      <c r="A11" s="351">
        <v>12509</v>
      </c>
      <c r="B11" s="352" t="s">
        <v>427</v>
      </c>
      <c r="C11" s="352" t="s">
        <v>428</v>
      </c>
      <c r="D11" s="353">
        <v>35890</v>
      </c>
      <c r="E11" s="352">
        <v>3</v>
      </c>
      <c r="F11" s="352">
        <v>17406</v>
      </c>
      <c r="G11" s="354">
        <v>8280</v>
      </c>
      <c r="H11" s="354" t="s">
        <v>325</v>
      </c>
      <c r="I11" s="352" t="str">
        <f>VLOOKUP('IF בתוך IF רופאים'!$E11,[2]התמחויות!$A$2:$B$16,2,0)</f>
        <v>הרדמה</v>
      </c>
      <c r="J11" s="354">
        <f>'IF בתוך IF רופאים'!$G11*(1+$A$67)</f>
        <v>9273.6</v>
      </c>
      <c r="K11" s="354">
        <f>'IF בתוך IF רופאים'!$J11-(VLOOKUP('IF בתוך IF רופאים'!$J11,$K$64:$M$67,2)*'IF בתוך IF רופאים'!$J11)</f>
        <v>6955.2000000000007</v>
      </c>
      <c r="L11" s="355">
        <f ca="1">VLOOKUP(YEAR(TODAY())-YEAR('IF בתוך IF רופאים'!$D11),'[2]נתונים נוספים'!$A$5:$K$9,VLOOKUP('IF בתוך IF רופאים'!$H11,'[2]נתונים נוספים'!$N$5:$O$14,2,0),1)/$U$10</f>
        <v>244.73684210526318</v>
      </c>
      <c r="M11" s="354">
        <f>'IF בתוך IF רופאים'!$K11/$U$5</f>
        <v>1738.8000000000002</v>
      </c>
      <c r="N11" s="350">
        <f t="shared" si="0"/>
        <v>3</v>
      </c>
      <c r="O11" s="409">
        <f t="shared" si="1"/>
        <v>5</v>
      </c>
      <c r="P11" s="408">
        <f t="shared" si="2"/>
        <v>3</v>
      </c>
      <c r="X11" s="320">
        <v>0.23</v>
      </c>
      <c r="Y11">
        <v>12734.773333333336</v>
      </c>
    </row>
    <row r="12" spans="1:25" x14ac:dyDescent="0.25">
      <c r="A12" s="345">
        <v>12510</v>
      </c>
      <c r="B12" s="346" t="s">
        <v>429</v>
      </c>
      <c r="C12" s="346" t="s">
        <v>430</v>
      </c>
      <c r="D12" s="347">
        <v>30484</v>
      </c>
      <c r="E12" s="346">
        <v>8</v>
      </c>
      <c r="F12" s="346">
        <v>68779</v>
      </c>
      <c r="G12" s="348">
        <v>18259</v>
      </c>
      <c r="H12" s="348" t="s">
        <v>407</v>
      </c>
      <c r="I12" s="346" t="str">
        <f>VLOOKUP('IF בתוך IF רופאים'!$E12,[2]התמחויות!$A$2:$B$16,2,0)</f>
        <v>כירורגיה אורתופדית</v>
      </c>
      <c r="J12" s="348">
        <f>'IF בתוך IF רופאים'!$G12*(1+$A$67)</f>
        <v>20450.080000000002</v>
      </c>
      <c r="K12" s="348">
        <f>'IF בתוך IF רופאים'!$J12-(VLOOKUP('IF בתוך IF רופאים'!$J12,$K$64:$M$67,2)*'IF בתוך IF רופאים'!$J12)</f>
        <v>14315.056</v>
      </c>
      <c r="L12" s="349">
        <f ca="1">VLOOKUP(YEAR(TODAY())-YEAR('IF בתוך IF רופאים'!$D12),'[2]נתונים נוספים'!$A$5:$K$9,VLOOKUP('IF בתוך IF רופאים'!$H12,'[2]נתונים נוספים'!$N$5:$O$14,2,0),1)/$U$10</f>
        <v>605.26315789473688</v>
      </c>
      <c r="M12" s="348">
        <f>'IF בתוך IF רופאים'!$K12/$U$5</f>
        <v>3578.7640000000001</v>
      </c>
      <c r="N12" s="350">
        <f t="shared" si="0"/>
        <v>4</v>
      </c>
      <c r="O12" s="409">
        <f t="shared" si="1"/>
        <v>5</v>
      </c>
      <c r="P12" s="408">
        <f t="shared" si="2"/>
        <v>4</v>
      </c>
    </row>
    <row r="13" spans="1:25" x14ac:dyDescent="0.25">
      <c r="A13" s="351">
        <v>12511</v>
      </c>
      <c r="B13" s="352" t="s">
        <v>431</v>
      </c>
      <c r="C13" s="352" t="s">
        <v>432</v>
      </c>
      <c r="D13" s="353">
        <v>36697</v>
      </c>
      <c r="E13" s="352">
        <v>3</v>
      </c>
      <c r="F13" s="352">
        <v>39054</v>
      </c>
      <c r="G13" s="354">
        <v>18853</v>
      </c>
      <c r="H13" s="354" t="s">
        <v>413</v>
      </c>
      <c r="I13" s="352" t="str">
        <f>VLOOKUP('IF בתוך IF רופאים'!$E13,[2]התמחויות!$A$2:$B$16,2,0)</f>
        <v>הרדמה</v>
      </c>
      <c r="J13" s="354">
        <f>'IF בתוך IF רופאים'!$G13*(1+$A$67)</f>
        <v>21115.360000000001</v>
      </c>
      <c r="K13" s="354">
        <f>'IF בתוך IF רופאים'!$J13-(VLOOKUP('IF בתוך IF רופאים'!$J13,$K$64:$M$67,2)*'IF בתוך IF רופאים'!$J13)</f>
        <v>14780.752</v>
      </c>
      <c r="L13" s="355">
        <f ca="1">VLOOKUP(YEAR(TODAY())-YEAR('IF בתוך IF רופאים'!$D13),'[2]נתונים נוספים'!$A$5:$K$9,VLOOKUP('IF בתוך IF רופאים'!$H13,'[2]נתונים נוספים'!$N$5:$O$14,2,0),1)/$U$10</f>
        <v>228.94736842105263</v>
      </c>
      <c r="M13" s="354">
        <f>'IF בתוך IF רופאים'!$K13/$U$5</f>
        <v>3695.1880000000001</v>
      </c>
      <c r="N13" s="350">
        <f t="shared" si="0"/>
        <v>4</v>
      </c>
      <c r="O13" s="409">
        <f t="shared" si="1"/>
        <v>4</v>
      </c>
      <c r="P13" s="408">
        <f t="shared" si="2"/>
        <v>4</v>
      </c>
    </row>
    <row r="14" spans="1:25" ht="14.4" thickBot="1" x14ac:dyDescent="0.3">
      <c r="A14" s="345">
        <v>12512</v>
      </c>
      <c r="B14" s="346" t="s">
        <v>433</v>
      </c>
      <c r="C14" s="346" t="s">
        <v>434</v>
      </c>
      <c r="D14" s="347">
        <v>34290</v>
      </c>
      <c r="E14" s="346">
        <v>8</v>
      </c>
      <c r="F14" s="346">
        <v>104266</v>
      </c>
      <c r="G14" s="348">
        <v>11928</v>
      </c>
      <c r="H14" s="348" t="s">
        <v>245</v>
      </c>
      <c r="I14" s="346" t="str">
        <f>VLOOKUP('IF בתוך IF רופאים'!$E14,[2]התמחויות!$A$2:$B$16,2,0)</f>
        <v>כירורגיה אורתופדית</v>
      </c>
      <c r="J14" s="348">
        <f>'IF בתוך IF רופאים'!$G14*(1+$A$67)</f>
        <v>13359.36</v>
      </c>
      <c r="K14" s="348">
        <f>'IF בתוך IF רופאים'!$J14-(VLOOKUP('IF בתוך IF רופאים'!$J14,$K$64:$M$67,2)*'IF בתוך IF רופאים'!$J14)</f>
        <v>10019.52</v>
      </c>
      <c r="L14" s="349">
        <f ca="1">VLOOKUP(YEAR(TODAY())-YEAR('IF בתוך IF רופאים'!$D14),'[2]נתונים נוספים'!$A$5:$K$9,VLOOKUP('IF בתוך IF רופאים'!$H14,'[2]נתונים נוספים'!$N$5:$O$14,2,0),1)/$U$10</f>
        <v>342.10526315789474</v>
      </c>
      <c r="M14" s="348">
        <f>'IF בתוך IF רופאים'!$K14/$U$5</f>
        <v>2504.88</v>
      </c>
      <c r="N14" s="350">
        <f t="shared" si="0"/>
        <v>2</v>
      </c>
      <c r="O14" s="409">
        <f t="shared" si="1"/>
        <v>5</v>
      </c>
      <c r="P14" s="408">
        <f t="shared" si="2"/>
        <v>4</v>
      </c>
      <c r="R14" t="s">
        <v>435</v>
      </c>
      <c r="V14" s="323" t="s">
        <v>398</v>
      </c>
      <c r="W14" s="323" t="s">
        <v>394</v>
      </c>
      <c r="X14" s="323" t="s">
        <v>394</v>
      </c>
      <c r="Y14" s="323" t="s">
        <v>402</v>
      </c>
    </row>
    <row r="15" spans="1:25" x14ac:dyDescent="0.25">
      <c r="A15" s="351">
        <v>12513</v>
      </c>
      <c r="B15" s="352" t="s">
        <v>436</v>
      </c>
      <c r="C15" s="352" t="s">
        <v>437</v>
      </c>
      <c r="D15" s="353">
        <v>32952</v>
      </c>
      <c r="E15" s="352">
        <v>7</v>
      </c>
      <c r="F15" s="352">
        <v>63208</v>
      </c>
      <c r="G15" s="354">
        <v>12546</v>
      </c>
      <c r="H15" s="354" t="s">
        <v>438</v>
      </c>
      <c r="I15" s="352" t="str">
        <f>VLOOKUP('IF בתוך IF רופאים'!$E15,[2]התמחויות!$A$2:$B$16,2,0)</f>
        <v>רפואת המשפחה</v>
      </c>
      <c r="J15" s="354">
        <f>'IF בתוך IF רופאים'!$G15*(1+$A$67)</f>
        <v>14051.52</v>
      </c>
      <c r="K15" s="354">
        <f>'IF בתוך IF רופאים'!$J15-(VLOOKUP('IF בתוך IF רופאים'!$J15,$K$64:$M$67,2)*'IF בתוך IF רופאים'!$J15)</f>
        <v>10538.64</v>
      </c>
      <c r="L15" s="355">
        <f ca="1">VLOOKUP(YEAR(TODAY())-YEAR('IF בתוך IF רופאים'!$D15),'[2]נתונים נוספים'!$A$5:$K$9,VLOOKUP('IF בתוך IF רופאים'!$H15,'[2]נתונים נוספים'!$N$5:$O$14,2,0),1)/$U$10</f>
        <v>381.5789473684211</v>
      </c>
      <c r="M15" s="354">
        <f>'IF בתוך IF רופאים'!$K15/$U$5</f>
        <v>2634.66</v>
      </c>
      <c r="N15" s="350">
        <f t="shared" si="0"/>
        <v>2</v>
      </c>
      <c r="O15" s="409">
        <f t="shared" si="1"/>
        <v>5</v>
      </c>
      <c r="P15" s="408">
        <f t="shared" si="2"/>
        <v>4</v>
      </c>
      <c r="R15" s="324" t="s">
        <v>394</v>
      </c>
      <c r="S15" s="325"/>
      <c r="V15" s="326" t="s">
        <v>439</v>
      </c>
      <c r="W15" t="s">
        <v>440</v>
      </c>
      <c r="X15" t="s">
        <v>441</v>
      </c>
      <c r="Y15" t="s">
        <v>442</v>
      </c>
    </row>
    <row r="16" spans="1:25" ht="14.4" thickBot="1" x14ac:dyDescent="0.3">
      <c r="A16" s="345">
        <v>12514</v>
      </c>
      <c r="B16" s="346" t="s">
        <v>443</v>
      </c>
      <c r="C16" s="346" t="s">
        <v>444</v>
      </c>
      <c r="D16" s="347">
        <v>24666</v>
      </c>
      <c r="E16" s="346">
        <v>9</v>
      </c>
      <c r="F16" s="346">
        <v>367311</v>
      </c>
      <c r="G16" s="348">
        <v>16239</v>
      </c>
      <c r="H16" s="348" t="s">
        <v>416</v>
      </c>
      <c r="I16" s="346" t="str">
        <f>VLOOKUP('IF בתוך IF רופאים'!$E16,[2]התמחויות!$A$2:$B$16,2,0)</f>
        <v>רפואה פנימית</v>
      </c>
      <c r="J16" s="348">
        <f>'IF בתוך IF רופאים'!$G16*(1+$A$67)</f>
        <v>18187.68</v>
      </c>
      <c r="K16" s="348">
        <f>'IF בתוך IF רופאים'!$J16-(VLOOKUP('IF בתוך IF רופאים'!$J16,$K$64:$M$67,2)*'IF בתוך IF רופאים'!$J16)</f>
        <v>12731.376</v>
      </c>
      <c r="L16" s="349">
        <f ca="1">VLOOKUP(YEAR(TODAY())-YEAR('IF בתוך IF רופאים'!$D16),'[2]נתונים נוספים'!$A$5:$K$9,VLOOKUP('IF בתוך IF רופאים'!$H16,'[2]נתונים נוספים'!$N$5:$O$14,2,0),1)/$U$10</f>
        <v>447.36842105263162</v>
      </c>
      <c r="M16" s="348">
        <f>'IF בתוך IF רופאים'!$K16/$U$5</f>
        <v>3182.8440000000001</v>
      </c>
      <c r="N16" s="350">
        <f t="shared" si="0"/>
        <v>6</v>
      </c>
      <c r="O16" s="409">
        <f t="shared" si="1"/>
        <v>6</v>
      </c>
      <c r="P16" s="408">
        <f t="shared" si="2"/>
        <v>4</v>
      </c>
      <c r="R16" s="327" t="s">
        <v>445</v>
      </c>
      <c r="S16" s="328" t="b">
        <f>G2&lt;AVERAGE('IF בתוך IF רופאים'!$G$2:$G$60)</f>
        <v>1</v>
      </c>
      <c r="V16" s="326" t="s">
        <v>446</v>
      </c>
      <c r="W16" t="s">
        <v>440</v>
      </c>
      <c r="X16" t="s">
        <v>441</v>
      </c>
      <c r="Y16" t="s">
        <v>442</v>
      </c>
    </row>
    <row r="17" spans="1:20" x14ac:dyDescent="0.25">
      <c r="A17" s="351">
        <v>12515</v>
      </c>
      <c r="B17" s="352" t="s">
        <v>447</v>
      </c>
      <c r="C17" s="352" t="s">
        <v>448</v>
      </c>
      <c r="D17" s="353">
        <v>38138</v>
      </c>
      <c r="E17" s="352">
        <v>8</v>
      </c>
      <c r="F17" s="352">
        <v>122992</v>
      </c>
      <c r="G17" s="354">
        <v>17958</v>
      </c>
      <c r="H17" s="354" t="s">
        <v>67</v>
      </c>
      <c r="I17" s="352" t="str">
        <f>VLOOKUP('IF בתוך IF רופאים'!$E17,[2]התמחויות!$A$2:$B$16,2,0)</f>
        <v>כירורגיה אורתופדית</v>
      </c>
      <c r="J17" s="354">
        <f>'IF בתוך IF רופאים'!$G17*(1+$A$67)</f>
        <v>20112.960000000003</v>
      </c>
      <c r="K17" s="354">
        <f>'IF בתוך IF רופאים'!$J17-(VLOOKUP('IF בתוך IF רופאים'!$J17,$K$64:$M$67,2)*'IF בתוך IF רופאים'!$J17)</f>
        <v>14079.072000000002</v>
      </c>
      <c r="L17" s="355">
        <f ca="1">VLOOKUP(YEAR(TODAY())-YEAR('IF בתוך IF רופאים'!$D17),'[2]נתונים נוספים'!$A$5:$K$9,VLOOKUP('IF בתוך IF רופאים'!$H17,'[2]נתונים נוספים'!$N$5:$O$14,2,0),1)/$U$10</f>
        <v>236.84210526315792</v>
      </c>
      <c r="M17" s="354">
        <f>'IF בתוך IF רופאים'!$K17/$U$5</f>
        <v>3519.7680000000005</v>
      </c>
      <c r="N17" s="350">
        <f t="shared" si="0"/>
        <v>2</v>
      </c>
      <c r="O17" s="409">
        <f t="shared" si="1"/>
        <v>4</v>
      </c>
      <c r="P17" s="408">
        <f t="shared" si="2"/>
        <v>4</v>
      </c>
    </row>
    <row r="18" spans="1:20" x14ac:dyDescent="0.25">
      <c r="A18" s="345">
        <v>12516</v>
      </c>
      <c r="B18" s="346" t="s">
        <v>449</v>
      </c>
      <c r="C18" s="346" t="s">
        <v>450</v>
      </c>
      <c r="D18" s="347">
        <v>25781</v>
      </c>
      <c r="E18" s="346">
        <v>9</v>
      </c>
      <c r="F18" s="346">
        <v>113386</v>
      </c>
      <c r="G18" s="348">
        <v>10737</v>
      </c>
      <c r="H18" s="348" t="s">
        <v>325</v>
      </c>
      <c r="I18" s="346" t="str">
        <f>VLOOKUP('IF בתוך IF רופאים'!$E18,[2]התמחויות!$A$2:$B$16,2,0)</f>
        <v>רפואה פנימית</v>
      </c>
      <c r="J18" s="348">
        <f>'IF בתוך IF רופאים'!$G18*(1+$A$67)</f>
        <v>12025.44</v>
      </c>
      <c r="K18" s="348">
        <f>'IF בתוך IF רופאים'!$J18-(VLOOKUP('IF בתוך IF רופאים'!$J18,$K$64:$M$67,2)*'IF בתוך IF רופאים'!$J18)</f>
        <v>9019.08</v>
      </c>
      <c r="L18" s="349">
        <f ca="1">VLOOKUP(YEAR(TODAY())-YEAR('IF בתוך IF רופאים'!$D18),'[2]נתונים נוספים'!$A$5:$K$9,VLOOKUP('IF בתוך IF רופאים'!$H18,'[2]נתונים נוספים'!$N$5:$O$14,2,0),1)/$U$10</f>
        <v>578.94736842105272</v>
      </c>
      <c r="M18" s="348">
        <f>'IF בתוך IF רופאים'!$K18/$U$5</f>
        <v>2254.77</v>
      </c>
      <c r="N18" s="350">
        <f t="shared" si="0"/>
        <v>4</v>
      </c>
      <c r="O18" s="409">
        <f t="shared" si="1"/>
        <v>6</v>
      </c>
      <c r="P18" s="408">
        <f t="shared" si="2"/>
        <v>4</v>
      </c>
    </row>
    <row r="19" spans="1:20" x14ac:dyDescent="0.25">
      <c r="A19" s="351">
        <v>12517</v>
      </c>
      <c r="B19" s="352" t="s">
        <v>451</v>
      </c>
      <c r="C19" s="352" t="s">
        <v>452</v>
      </c>
      <c r="D19" s="353">
        <v>24568</v>
      </c>
      <c r="E19" s="352">
        <v>10</v>
      </c>
      <c r="F19" s="352">
        <v>42794</v>
      </c>
      <c r="G19" s="354">
        <v>10807</v>
      </c>
      <c r="H19" s="354" t="s">
        <v>325</v>
      </c>
      <c r="I19" s="352" t="str">
        <f>VLOOKUP('IF בתוך IF רופאים'!$E19,[2]התמחויות!$A$2:$B$16,2,0)</f>
        <v>יילוד וגינקולוגיה</v>
      </c>
      <c r="J19" s="354">
        <f>'IF בתוך IF רופאים'!$G19*(1+$A$67)</f>
        <v>12103.840000000002</v>
      </c>
      <c r="K19" s="354">
        <f>'IF בתוך IF רופאים'!$J19-(VLOOKUP('IF בתוך IF רופאים'!$J19,$K$64:$M$67,2)*'IF בתוך IF רופאים'!$J19)</f>
        <v>9077.880000000001</v>
      </c>
      <c r="L19" s="355">
        <f ca="1">VLOOKUP(YEAR(TODAY())-YEAR('IF בתוך IF רופאים'!$D19),'[2]נתונים נוספים'!$A$5:$K$9,VLOOKUP('IF בתוך IF רופאים'!$H19,'[2]נתונים נוספים'!$N$5:$O$14,2,0),1)/$U$10</f>
        <v>578.94736842105272</v>
      </c>
      <c r="M19" s="354">
        <f>'IF בתוך IF רופאים'!$K19/$U$5</f>
        <v>2269.4700000000003</v>
      </c>
      <c r="N19" s="350">
        <f t="shared" si="0"/>
        <v>4</v>
      </c>
      <c r="O19" s="409">
        <f t="shared" si="1"/>
        <v>6</v>
      </c>
      <c r="P19" s="408">
        <f t="shared" si="2"/>
        <v>4</v>
      </c>
    </row>
    <row r="20" spans="1:20" x14ac:dyDescent="0.25">
      <c r="A20" s="345">
        <v>12518</v>
      </c>
      <c r="B20" s="346" t="s">
        <v>453</v>
      </c>
      <c r="C20" s="346" t="s">
        <v>454</v>
      </c>
      <c r="D20" s="347">
        <v>28163</v>
      </c>
      <c r="E20" s="346">
        <v>10</v>
      </c>
      <c r="F20" s="346">
        <v>54704</v>
      </c>
      <c r="G20" s="348">
        <v>15399</v>
      </c>
      <c r="H20" s="348" t="s">
        <v>407</v>
      </c>
      <c r="I20" s="346" t="str">
        <f>VLOOKUP('IF בתוך IF רופאים'!$E20,[2]התמחויות!$A$2:$B$16,2,0)</f>
        <v>יילוד וגינקולוגיה</v>
      </c>
      <c r="J20" s="348">
        <f>'IF בתוך IF רופאים'!$G20*(1+$A$67)</f>
        <v>17246.88</v>
      </c>
      <c r="K20" s="348">
        <f>'IF בתוך IF רופאים'!$J20-(VLOOKUP('IF בתוך IF רופאים'!$J20,$K$64:$M$67,2)*'IF בתוך IF רופאים'!$J20)</f>
        <v>12072.816000000001</v>
      </c>
      <c r="L20" s="349">
        <f ca="1">VLOOKUP(YEAR(TODAY())-YEAR('IF בתוך IF רופאים'!$D20),'[2]נתונים נוספים'!$A$5:$K$9,VLOOKUP('IF בתוך IF רופאים'!$H20,'[2]נתונים נוספים'!$N$5:$O$14,2,0),1)/$U$10</f>
        <v>605.26315789473688</v>
      </c>
      <c r="M20" s="348">
        <f>'IF בתוך IF רופאים'!$K20/$U$5</f>
        <v>3018.2040000000002</v>
      </c>
      <c r="N20" s="350">
        <f t="shared" si="0"/>
        <v>4</v>
      </c>
      <c r="O20" s="409">
        <f t="shared" si="1"/>
        <v>6</v>
      </c>
      <c r="P20" s="408">
        <f t="shared" si="2"/>
        <v>4</v>
      </c>
    </row>
    <row r="21" spans="1:20" x14ac:dyDescent="0.25">
      <c r="A21" s="351">
        <v>12519</v>
      </c>
      <c r="B21" s="352" t="s">
        <v>443</v>
      </c>
      <c r="C21" s="352" t="s">
        <v>455</v>
      </c>
      <c r="D21" s="353">
        <v>24826</v>
      </c>
      <c r="E21" s="352">
        <v>9</v>
      </c>
      <c r="F21" s="352">
        <v>78257</v>
      </c>
      <c r="G21" s="354">
        <v>12845</v>
      </c>
      <c r="H21" s="354" t="s">
        <v>413</v>
      </c>
      <c r="I21" s="352" t="str">
        <f>VLOOKUP('IF בתוך IF רופאים'!$E21,[2]התמחויות!$A$2:$B$16,2,0)</f>
        <v>רפואה פנימית</v>
      </c>
      <c r="J21" s="354">
        <f>'IF בתוך IF רופאים'!$G21*(1+$A$67)</f>
        <v>14386.400000000001</v>
      </c>
      <c r="K21" s="354">
        <f>'IF בתוך IF רופאים'!$J21-(VLOOKUP('IF בתוך IF רופאים'!$J21,$K$64:$M$67,2)*'IF בתוך IF רופאים'!$J21)</f>
        <v>10789.800000000001</v>
      </c>
      <c r="L21" s="355">
        <f ca="1">VLOOKUP(YEAR(TODAY())-YEAR('IF בתוך IF רופאים'!$D21),'[2]נתונים נוספים'!$A$5:$K$9,VLOOKUP('IF בתוך IF רופאים'!$H21,'[2]נתונים נוספים'!$N$5:$O$14,2,0),1)/$U$10</f>
        <v>421.0526315789474</v>
      </c>
      <c r="M21" s="354">
        <f>'IF בתוך IF רופאים'!$K21/$U$5</f>
        <v>2697.4500000000003</v>
      </c>
      <c r="N21" s="350">
        <f t="shared" si="0"/>
        <v>6</v>
      </c>
      <c r="O21" s="409">
        <f t="shared" si="1"/>
        <v>6</v>
      </c>
      <c r="P21" s="408">
        <f t="shared" si="2"/>
        <v>4</v>
      </c>
      <c r="Q21" s="436" t="s">
        <v>563</v>
      </c>
      <c r="R21" s="436"/>
      <c r="S21" s="436"/>
      <c r="T21" s="436"/>
    </row>
    <row r="22" spans="1:20" x14ac:dyDescent="0.25">
      <c r="A22" s="345">
        <v>12520</v>
      </c>
      <c r="B22" s="346" t="s">
        <v>456</v>
      </c>
      <c r="C22" s="346" t="s">
        <v>455</v>
      </c>
      <c r="D22" s="347">
        <v>28333</v>
      </c>
      <c r="E22" s="346">
        <v>11</v>
      </c>
      <c r="F22" s="346">
        <v>397798</v>
      </c>
      <c r="G22" s="348">
        <v>12838</v>
      </c>
      <c r="H22" s="348" t="s">
        <v>245</v>
      </c>
      <c r="I22" s="346" t="str">
        <f>VLOOKUP('IF בתוך IF רופאים'!$E22,[2]התמחויות!$A$2:$B$16,2,0)</f>
        <v>רפואה תעסוקתית</v>
      </c>
      <c r="J22" s="348">
        <f>'IF בתוך IF רופאים'!$G22*(1+$A$67)</f>
        <v>14378.560000000001</v>
      </c>
      <c r="K22" s="348">
        <f>'IF בתוך IF רופאים'!$J22-(VLOOKUP('IF בתוך IF רופאים'!$J22,$K$64:$M$67,2)*'IF בתוך IF רופאים'!$J22)</f>
        <v>10783.920000000002</v>
      </c>
      <c r="L22" s="349">
        <f ca="1">VLOOKUP(YEAR(TODAY())-YEAR('IF בתוך IF רופאים'!$D22),'[2]נתונים נוספים'!$A$5:$K$9,VLOOKUP('IF בתוך IF רופאים'!$H22,'[2]נתונים נוספים'!$N$5:$O$14,2,0),1)/$U$10</f>
        <v>552.63157894736844</v>
      </c>
      <c r="M22" s="348">
        <f>'IF בתוך IF רופאים'!$K22/$U$5</f>
        <v>2695.9800000000005</v>
      </c>
      <c r="N22" s="350">
        <f t="shared" si="0"/>
        <v>2</v>
      </c>
      <c r="O22" s="409">
        <f t="shared" si="1"/>
        <v>6</v>
      </c>
      <c r="P22" s="408">
        <f t="shared" si="2"/>
        <v>4</v>
      </c>
      <c r="Q22" t="s">
        <v>564</v>
      </c>
      <c r="R22" t="s">
        <v>407</v>
      </c>
      <c r="T22" t="s">
        <v>325</v>
      </c>
    </row>
    <row r="23" spans="1:20" x14ac:dyDescent="0.25">
      <c r="A23" s="351">
        <v>12521</v>
      </c>
      <c r="B23" s="352" t="s">
        <v>457</v>
      </c>
      <c r="C23" s="352" t="s">
        <v>458</v>
      </c>
      <c r="D23" s="353">
        <v>24464</v>
      </c>
      <c r="E23" s="352">
        <v>12</v>
      </c>
      <c r="F23" s="352">
        <v>38296</v>
      </c>
      <c r="G23" s="354">
        <v>20181</v>
      </c>
      <c r="H23" s="354" t="s">
        <v>438</v>
      </c>
      <c r="I23" s="352" t="str">
        <f>VLOOKUP('IF בתוך IF רופאים'!$E23,[2]התמחויות!$A$2:$B$16,2,0)</f>
        <v>דרמטולוגיה-מחלות עור ומין</v>
      </c>
      <c r="J23" s="354">
        <f>'IF בתוך IF רופאים'!$G23*(1+$A$67)</f>
        <v>22602.720000000001</v>
      </c>
      <c r="K23" s="354">
        <f>'IF בתוך IF רופאים'!$J23-(VLOOKUP('IF בתוך IF רופאים'!$J23,$K$64:$M$67,2)*'IF בתוך IF רופאים'!$J23)</f>
        <v>15821.904000000002</v>
      </c>
      <c r="L23" s="355">
        <f ca="1">VLOOKUP(YEAR(TODAY())-YEAR('IF בתוך IF רופאים'!$D23),'[2]נתונים נוספים'!$A$5:$K$9,VLOOKUP('IF בתוך IF רופאים'!$H23,'[2]נתונים נוספים'!$N$5:$O$14,2,0),1)/$U$10</f>
        <v>631.57894736842104</v>
      </c>
      <c r="M23" s="354">
        <f>'IF בתוך IF רופאים'!$K23/$U$5</f>
        <v>3955.4760000000006</v>
      </c>
      <c r="N23" s="350">
        <f t="shared" si="0"/>
        <v>2</v>
      </c>
      <c r="O23" s="409">
        <f t="shared" si="1"/>
        <v>6</v>
      </c>
      <c r="P23" s="408">
        <f t="shared" si="2"/>
        <v>4</v>
      </c>
      <c r="R23">
        <v>9500</v>
      </c>
      <c r="S23">
        <v>3</v>
      </c>
    </row>
    <row r="24" spans="1:20" x14ac:dyDescent="0.25">
      <c r="A24" s="345">
        <v>12522</v>
      </c>
      <c r="B24" s="346" t="s">
        <v>459</v>
      </c>
      <c r="C24" s="346" t="s">
        <v>460</v>
      </c>
      <c r="D24" s="347">
        <v>25430</v>
      </c>
      <c r="E24" s="346">
        <v>9</v>
      </c>
      <c r="F24" s="346">
        <v>152905</v>
      </c>
      <c r="G24" s="348">
        <v>20234</v>
      </c>
      <c r="H24" s="348" t="s">
        <v>416</v>
      </c>
      <c r="I24" s="346" t="str">
        <f>VLOOKUP('IF בתוך IF רופאים'!$E24,[2]התמחויות!$A$2:$B$16,2,0)</f>
        <v>רפואה פנימית</v>
      </c>
      <c r="J24" s="348">
        <f>'IF בתוך IF רופאים'!$G24*(1+$A$67)</f>
        <v>22662.080000000002</v>
      </c>
      <c r="K24" s="348">
        <f>'IF בתוך IF רופאים'!$J24-(VLOOKUP('IF בתוך IF רופאים'!$J24,$K$64:$M$67,2)*'IF בתוך IF רופאים'!$J24)</f>
        <v>15863.456000000002</v>
      </c>
      <c r="L24" s="349">
        <f ca="1">VLOOKUP(YEAR(TODAY())-YEAR('IF בתוך IF רופאים'!$D24),'[2]נתונים נוספים'!$A$5:$K$9,VLOOKUP('IF בתוך IF רופאים'!$H24,'[2]נתונים נוספים'!$N$5:$O$14,2,0),1)/$U$10</f>
        <v>447.36842105263162</v>
      </c>
      <c r="M24" s="348">
        <f>'IF בתוך IF רופאים'!$K24/$U$5</f>
        <v>3965.8640000000005</v>
      </c>
      <c r="N24" s="350">
        <f t="shared" si="0"/>
        <v>6</v>
      </c>
      <c r="O24" s="409">
        <f t="shared" si="1"/>
        <v>6</v>
      </c>
      <c r="P24" s="408">
        <f t="shared" si="2"/>
        <v>4</v>
      </c>
      <c r="S24">
        <v>4</v>
      </c>
    </row>
    <row r="25" spans="1:20" x14ac:dyDescent="0.25">
      <c r="A25" s="351">
        <v>12523</v>
      </c>
      <c r="B25" s="352" t="s">
        <v>461</v>
      </c>
      <c r="C25" s="352" t="s">
        <v>462</v>
      </c>
      <c r="D25" s="353">
        <v>37862</v>
      </c>
      <c r="E25" s="352">
        <v>9</v>
      </c>
      <c r="F25" s="352">
        <v>921168</v>
      </c>
      <c r="G25" s="354">
        <v>11772</v>
      </c>
      <c r="H25" s="354" t="s">
        <v>67</v>
      </c>
      <c r="I25" s="352" t="str">
        <f>VLOOKUP('IF בתוך IF רופאים'!$E25,[2]התמחויות!$A$2:$B$16,2,0)</f>
        <v>רפואה פנימית</v>
      </c>
      <c r="J25" s="354">
        <f>'IF בתוך IF רופאים'!$G25*(1+$A$67)</f>
        <v>13184.640000000001</v>
      </c>
      <c r="K25" s="354">
        <f>'IF בתוך IF רופאים'!$J25-(VLOOKUP('IF בתוך IF רופאים'!$J25,$K$64:$M$67,2)*'IF בתוך IF רופאים'!$J25)</f>
        <v>9888.4800000000014</v>
      </c>
      <c r="L25" s="355">
        <f ca="1">VLOOKUP(YEAR(TODAY())-YEAR('IF בתוך IF רופאים'!$D25),'[2]נתונים נוספים'!$A$5:$K$9,VLOOKUP('IF בתוך IF רופאים'!$H25,'[2]נתונים נוספים'!$N$5:$O$14,2,0),1)/$U$10</f>
        <v>236.84210526315792</v>
      </c>
      <c r="M25" s="354">
        <f>'IF בתוך IF רופאים'!$K25/$U$5</f>
        <v>2472.1200000000003</v>
      </c>
      <c r="N25" s="350">
        <f t="shared" si="0"/>
        <v>2</v>
      </c>
      <c r="O25" s="409">
        <f t="shared" si="1"/>
        <v>4</v>
      </c>
      <c r="P25" s="408">
        <f t="shared" si="2"/>
        <v>4</v>
      </c>
    </row>
    <row r="26" spans="1:20" x14ac:dyDescent="0.25">
      <c r="A26" s="345">
        <v>12524</v>
      </c>
      <c r="B26" s="346" t="s">
        <v>463</v>
      </c>
      <c r="C26" s="346" t="s">
        <v>464</v>
      </c>
      <c r="D26" s="347">
        <v>31033</v>
      </c>
      <c r="E26" s="346">
        <v>9</v>
      </c>
      <c r="F26" s="346">
        <v>1013312</v>
      </c>
      <c r="G26" s="348">
        <v>18903</v>
      </c>
      <c r="H26" s="348" t="s">
        <v>407</v>
      </c>
      <c r="I26" s="346" t="str">
        <f>VLOOKUP('IF בתוך IF רופאים'!$E26,[2]התמחויות!$A$2:$B$16,2,0)</f>
        <v>רפואה פנימית</v>
      </c>
      <c r="J26" s="348">
        <f>'IF בתוך IF רופאים'!$G26*(1+$A$67)</f>
        <v>21171.360000000001</v>
      </c>
      <c r="K26" s="348">
        <f>'IF בתוך IF רופאים'!$J26-(VLOOKUP('IF בתוך IF רופאים'!$J26,$K$64:$M$67,2)*'IF בתוך IF רופאים'!$J26)</f>
        <v>14819.952000000001</v>
      </c>
      <c r="L26" s="349">
        <f ca="1">VLOOKUP(YEAR(TODAY())-YEAR('IF בתוך IF רופאים'!$D26),'[2]נתונים נוספים'!$A$5:$K$9,VLOOKUP('IF בתוך IF רופאים'!$H26,'[2]נתונים נוספים'!$N$5:$O$14,2,0),1)/$U$10</f>
        <v>605.26315789473688</v>
      </c>
      <c r="M26" s="348">
        <f>'IF בתוך IF רופאים'!$K26/$U$5</f>
        <v>3704.9880000000003</v>
      </c>
      <c r="N26" s="350">
        <f t="shared" si="0"/>
        <v>4</v>
      </c>
      <c r="O26" s="409">
        <f t="shared" si="1"/>
        <v>5</v>
      </c>
      <c r="P26" s="408">
        <f t="shared" si="2"/>
        <v>4</v>
      </c>
    </row>
    <row r="27" spans="1:20" x14ac:dyDescent="0.25">
      <c r="A27" s="351">
        <v>12525</v>
      </c>
      <c r="B27" s="352" t="s">
        <v>465</v>
      </c>
      <c r="C27" s="352" t="s">
        <v>434</v>
      </c>
      <c r="D27" s="353">
        <v>36781</v>
      </c>
      <c r="E27" s="352">
        <v>13</v>
      </c>
      <c r="F27" s="352">
        <v>17019</v>
      </c>
      <c r="G27" s="354">
        <v>16936</v>
      </c>
      <c r="H27" s="354" t="s">
        <v>410</v>
      </c>
      <c r="I27" s="352" t="str">
        <f>VLOOKUP('IF בתוך IF רופאים'!$E27,[2]התמחויות!$A$2:$B$16,2,0)</f>
        <v>נוירוכירורגיה</v>
      </c>
      <c r="J27" s="354">
        <f>'IF בתוך IF רופאים'!$G27*(1+$A$67)</f>
        <v>18968.320000000003</v>
      </c>
      <c r="K27" s="354">
        <f>'IF בתוך IF רופאים'!$J27-(VLOOKUP('IF בתוך IF רופאים'!$J27,$K$64:$M$67,2)*'IF בתוך IF רופאים'!$J27)</f>
        <v>13277.824000000002</v>
      </c>
      <c r="L27" s="355">
        <f ca="1">VLOOKUP(YEAR(TODAY())-YEAR('IF בתוך IF רופאים'!$D27),'[2]נתונים נוספים'!$A$5:$K$9,VLOOKUP('IF בתוך IF רופאים'!$H27,'[2]נתונים נוספים'!$N$5:$O$14,2,0),1)/$U$10</f>
        <v>226.31578947368422</v>
      </c>
      <c r="M27" s="354">
        <f>'IF בתוך IF רופאים'!$K27/$U$5</f>
        <v>3319.4560000000006</v>
      </c>
      <c r="N27" s="350">
        <f t="shared" si="0"/>
        <v>2</v>
      </c>
      <c r="O27" s="409">
        <f t="shared" si="1"/>
        <v>4</v>
      </c>
      <c r="P27" s="408">
        <f t="shared" si="2"/>
        <v>4</v>
      </c>
      <c r="Q27" t="s">
        <v>565</v>
      </c>
      <c r="R27" s="348" t="s">
        <v>413</v>
      </c>
      <c r="T27" s="348" t="s">
        <v>416</v>
      </c>
    </row>
    <row r="28" spans="1:20" x14ac:dyDescent="0.25">
      <c r="A28" s="345">
        <v>12526</v>
      </c>
      <c r="B28" s="346" t="s">
        <v>466</v>
      </c>
      <c r="C28" s="346" t="s">
        <v>424</v>
      </c>
      <c r="D28" s="347">
        <v>34335</v>
      </c>
      <c r="E28" s="346">
        <v>14</v>
      </c>
      <c r="F28" s="346">
        <v>73525</v>
      </c>
      <c r="G28" s="348">
        <v>16629</v>
      </c>
      <c r="H28" s="348" t="s">
        <v>413</v>
      </c>
      <c r="I28" s="346" t="str">
        <f>VLOOKUP('IF בתוך IF רופאים'!$E28,[2]התמחויות!$A$2:$B$16,2,0)</f>
        <v>כירורגיה אורולוגית</v>
      </c>
      <c r="J28" s="348">
        <f>'IF בתוך IF רופאים'!$G28*(1+$A$67)</f>
        <v>18624.480000000003</v>
      </c>
      <c r="K28" s="348">
        <f>'IF בתוך IF רופאים'!$J28-(VLOOKUP('IF בתוך IF רופאים'!$J28,$K$64:$M$67,2)*'IF בתוך IF רופאים'!$J28)</f>
        <v>13037.136000000002</v>
      </c>
      <c r="L28" s="349">
        <f ca="1">VLOOKUP(YEAR(TODAY())-YEAR('IF בתוך IF רופאים'!$D28),'[2]נתונים נוספים'!$A$5:$K$9,VLOOKUP('IF בתוך IF רופאים'!$H28,'[2]נתונים נוספים'!$N$5:$O$14,2,0),1)/$U$10</f>
        <v>276.31578947368422</v>
      </c>
      <c r="M28" s="348">
        <f>'IF בתוך IF רופאים'!$K28/$U$5</f>
        <v>3259.2840000000006</v>
      </c>
      <c r="N28" s="350">
        <f t="shared" si="0"/>
        <v>5</v>
      </c>
      <c r="O28" s="409">
        <f t="shared" si="1"/>
        <v>5</v>
      </c>
      <c r="P28" s="408">
        <f t="shared" si="2"/>
        <v>4</v>
      </c>
    </row>
    <row r="29" spans="1:20" x14ac:dyDescent="0.25">
      <c r="A29" s="351">
        <v>12527</v>
      </c>
      <c r="B29" s="352" t="s">
        <v>467</v>
      </c>
      <c r="C29" s="352" t="s">
        <v>468</v>
      </c>
      <c r="D29" s="353">
        <v>40273</v>
      </c>
      <c r="E29" s="352">
        <v>2</v>
      </c>
      <c r="F29" s="352">
        <v>17857</v>
      </c>
      <c r="G29" s="354">
        <v>21136</v>
      </c>
      <c r="H29" s="354" t="s">
        <v>416</v>
      </c>
      <c r="I29" s="352" t="str">
        <f>VLOOKUP('IF בתוך IF רופאים'!$E29,[2]התמחויות!$A$2:$B$16,2,0)</f>
        <v>כירורגיה כללית</v>
      </c>
      <c r="J29" s="354">
        <f>'IF בתוך IF רופאים'!$G29*(1+$A$67)</f>
        <v>23672.320000000003</v>
      </c>
      <c r="K29" s="354">
        <f>'IF בתוך IF רופאים'!$J29-(VLOOKUP('IF בתוך IF רופאים'!$J29,$K$64:$M$67,2)*'IF בתוך IF רופאים'!$J29)</f>
        <v>16570.624000000003</v>
      </c>
      <c r="L29" s="355">
        <f ca="1">VLOOKUP(YEAR(TODAY())-YEAR('IF בתוך IF רופאים'!$D29),'[2]נתונים נוספים'!$A$5:$K$9,VLOOKUP('IF בתוך IF רופאים'!$H29,'[2]נתונים נוספים'!$N$5:$O$14,2,0),1)/$U$10</f>
        <v>231.57894736842107</v>
      </c>
      <c r="M29" s="354">
        <f>'IF בתוך IF רופאים'!$K29/$U$5</f>
        <v>4142.6560000000009</v>
      </c>
      <c r="N29" s="350">
        <f t="shared" si="0"/>
        <v>4</v>
      </c>
      <c r="O29" s="409">
        <f t="shared" si="1"/>
        <v>4</v>
      </c>
      <c r="P29" s="408">
        <f t="shared" si="2"/>
        <v>4</v>
      </c>
      <c r="R29">
        <v>1980</v>
      </c>
      <c r="S29">
        <v>6</v>
      </c>
    </row>
    <row r="30" spans="1:20" x14ac:dyDescent="0.25">
      <c r="A30" s="345">
        <v>12528</v>
      </c>
      <c r="B30" s="346" t="s">
        <v>469</v>
      </c>
      <c r="C30" s="346" t="s">
        <v>470</v>
      </c>
      <c r="D30" s="347">
        <v>30224</v>
      </c>
      <c r="E30" s="346">
        <v>1</v>
      </c>
      <c r="F30" s="346">
        <v>8258</v>
      </c>
      <c r="G30" s="348">
        <v>24874</v>
      </c>
      <c r="H30" s="348" t="s">
        <v>419</v>
      </c>
      <c r="I30" s="346" t="str">
        <f>VLOOKUP('IF בתוך IF רופאים'!$E30,[2]התמחויות!$A$2:$B$16,2,0)</f>
        <v>רפואת ילדים</v>
      </c>
      <c r="J30" s="348">
        <f>'IF בתוך IF רופאים'!$G30*(1+$A$67)</f>
        <v>27858.880000000001</v>
      </c>
      <c r="K30" s="348">
        <f>'IF בתוך IF רופאים'!$J30-(VLOOKUP('IF בתוך IF רופאים'!$J30,$K$64:$M$67,2)*'IF בתוך IF רופאים'!$J30)</f>
        <v>19501.216</v>
      </c>
      <c r="L30" s="349">
        <f ca="1">VLOOKUP(YEAR(TODAY())-YEAR('IF בתוך IF רופאים'!$D30),'[2]נתונים נוספים'!$A$5:$K$9,VLOOKUP('IF בתוך IF רופאים'!$H30,'[2]נתונים נוספים'!$N$5:$O$14,2,0),1)/$U$10</f>
        <v>473.68421052631584</v>
      </c>
      <c r="M30" s="348">
        <f>'IF בתוך IF רופאים'!$K30/$U$5</f>
        <v>4875.3040000000001</v>
      </c>
      <c r="N30" s="350">
        <f t="shared" si="0"/>
        <v>2</v>
      </c>
      <c r="O30" s="409">
        <f t="shared" si="1"/>
        <v>5</v>
      </c>
      <c r="P30" s="408">
        <f t="shared" si="2"/>
        <v>4</v>
      </c>
      <c r="R30">
        <v>1998</v>
      </c>
      <c r="S30">
        <v>5</v>
      </c>
    </row>
    <row r="31" spans="1:20" x14ac:dyDescent="0.25">
      <c r="A31" s="351">
        <v>12529</v>
      </c>
      <c r="B31" s="352" t="s">
        <v>471</v>
      </c>
      <c r="C31" s="352" t="s">
        <v>472</v>
      </c>
      <c r="D31" s="353">
        <v>24212</v>
      </c>
      <c r="E31" s="352">
        <v>1</v>
      </c>
      <c r="F31" s="352">
        <v>27842</v>
      </c>
      <c r="G31" s="354">
        <v>15843</v>
      </c>
      <c r="H31" s="354" t="s">
        <v>67</v>
      </c>
      <c r="I31" s="352" t="str">
        <f>VLOOKUP('IF בתוך IF רופאים'!$E31,[2]התמחויות!$A$2:$B$16,2,0)</f>
        <v>רפואת ילדים</v>
      </c>
      <c r="J31" s="354">
        <f>'IF בתוך IF רופאים'!$G31*(1+$A$67)</f>
        <v>17744.160000000003</v>
      </c>
      <c r="K31" s="354">
        <f>'IF בתוך IF רופאים'!$J31-(VLOOKUP('IF בתוך IF רופאים'!$J31,$K$64:$M$67,2)*'IF בתוך IF רופאים'!$J31)</f>
        <v>12420.912000000004</v>
      </c>
      <c r="L31" s="355">
        <f ca="1">VLOOKUP(YEAR(TODAY())-YEAR('IF בתוך IF רופאים'!$D31),'[2]נתונים נוספים'!$A$5:$K$9,VLOOKUP('IF בתוך IF רופאים'!$H31,'[2]נתונים נוספים'!$N$5:$O$14,2,0),1)/$U$10</f>
        <v>500</v>
      </c>
      <c r="M31" s="354">
        <f>'IF בתוך IF רופאים'!$K31/$U$5</f>
        <v>3105.228000000001</v>
      </c>
      <c r="N31" s="350">
        <f t="shared" si="0"/>
        <v>2</v>
      </c>
      <c r="O31" s="409">
        <f t="shared" si="1"/>
        <v>6</v>
      </c>
      <c r="P31" s="408">
        <f t="shared" si="2"/>
        <v>4</v>
      </c>
      <c r="S31">
        <v>4</v>
      </c>
    </row>
    <row r="32" spans="1:20" x14ac:dyDescent="0.25">
      <c r="A32" s="345">
        <v>12530</v>
      </c>
      <c r="B32" s="346" t="s">
        <v>473</v>
      </c>
      <c r="C32" s="346" t="s">
        <v>474</v>
      </c>
      <c r="D32" s="347">
        <v>18200</v>
      </c>
      <c r="E32" s="346">
        <v>1</v>
      </c>
      <c r="F32" s="346">
        <v>125250</v>
      </c>
      <c r="G32" s="348">
        <v>13648</v>
      </c>
      <c r="H32" s="348" t="s">
        <v>66</v>
      </c>
      <c r="I32" s="346" t="str">
        <f>VLOOKUP('IF בתוך IF רופאים'!$E32,[2]התמחויות!$A$2:$B$16,2,0)</f>
        <v>רפואת ילדים</v>
      </c>
      <c r="J32" s="348">
        <f>'IF בתוך IF רופאים'!$G32*(1+$A$67)</f>
        <v>15285.760000000002</v>
      </c>
      <c r="K32" s="348">
        <f>'IF בתוך IF רופאים'!$J32-(VLOOKUP('IF בתוך IF רופאים'!$J32,$K$64:$M$67,2)*'IF בתוך IF רופאים'!$J32)</f>
        <v>10700.032000000003</v>
      </c>
      <c r="L32" s="349">
        <f ca="1">VLOOKUP(YEAR(TODAY())-YEAR('IF בתוך IF רופאים'!$D32),'[2]נתונים נוספים'!$A$5:$K$9,VLOOKUP('IF בתוך IF רופאים'!$H32,'[2]נתונים נוספים'!$N$5:$O$14,2,0),1)/$U$10</f>
        <v>526.31578947368428</v>
      </c>
      <c r="M32" s="348">
        <f>'IF בתוך IF רופאים'!$K32/$U$5</f>
        <v>2675.0080000000007</v>
      </c>
      <c r="N32" s="350">
        <f t="shared" si="0"/>
        <v>2</v>
      </c>
      <c r="O32" s="409">
        <f t="shared" si="1"/>
        <v>6</v>
      </c>
      <c r="P32" s="408">
        <f t="shared" si="2"/>
        <v>4</v>
      </c>
    </row>
    <row r="33" spans="1:19" x14ac:dyDescent="0.25">
      <c r="A33" s="351">
        <v>12531</v>
      </c>
      <c r="B33" s="352" t="s">
        <v>475</v>
      </c>
      <c r="C33" s="352" t="s">
        <v>476</v>
      </c>
      <c r="D33" s="353">
        <v>12188</v>
      </c>
      <c r="E33" s="352">
        <v>5</v>
      </c>
      <c r="F33" s="352">
        <v>23000</v>
      </c>
      <c r="G33" s="354">
        <v>18782</v>
      </c>
      <c r="H33" s="354" t="s">
        <v>245</v>
      </c>
      <c r="I33" s="352" t="str">
        <f>VLOOKUP('IF בתוך IF רופאים'!$E33,[2]התמחויות!$A$2:$B$16,2,0)</f>
        <v>פסיכיאטריה</v>
      </c>
      <c r="J33" s="354">
        <f>'IF בתוך IF רופאים'!$G33*(1+$A$67)</f>
        <v>21035.840000000004</v>
      </c>
      <c r="K33" s="354">
        <f>'IF בתוך IF רופאים'!$J33-(VLOOKUP('IF בתוך IF רופאים'!$J33,$K$64:$M$67,2)*'IF בתוך IF רופאים'!$J33)</f>
        <v>14725.088000000003</v>
      </c>
      <c r="L33" s="355">
        <f ca="1">VLOOKUP(YEAR(TODAY())-YEAR('IF בתוך IF רופאים'!$D33),'[2]נתונים נוספים'!$A$5:$K$9,VLOOKUP('IF בתוך IF רופאים'!$H33,'[2]נתונים נוספים'!$N$5:$O$14,2,0),1)/$U$10</f>
        <v>552.63157894736844</v>
      </c>
      <c r="M33" s="354">
        <f>'IF בתוך IF רופאים'!$K33/$U$5</f>
        <v>3681.2720000000008</v>
      </c>
      <c r="N33" s="350">
        <f t="shared" si="0"/>
        <v>2</v>
      </c>
      <c r="O33" s="409">
        <f t="shared" si="1"/>
        <v>6</v>
      </c>
      <c r="P33" s="408">
        <f t="shared" si="2"/>
        <v>4</v>
      </c>
    </row>
    <row r="34" spans="1:19" x14ac:dyDescent="0.25">
      <c r="A34" s="345">
        <v>12532</v>
      </c>
      <c r="B34" s="346" t="s">
        <v>477</v>
      </c>
      <c r="C34" s="346" t="s">
        <v>478</v>
      </c>
      <c r="D34" s="347">
        <v>6176</v>
      </c>
      <c r="E34" s="346">
        <v>15</v>
      </c>
      <c r="F34" s="346">
        <v>2322</v>
      </c>
      <c r="G34" s="348">
        <v>22341</v>
      </c>
      <c r="H34" s="348" t="s">
        <v>416</v>
      </c>
      <c r="I34" s="346" t="str">
        <f>VLOOKUP('IF בתוך IF רופאים'!$E34,[2]התמחויות!$A$2:$B$16,2,0)</f>
        <v>נפרולוגיה</v>
      </c>
      <c r="J34" s="348">
        <f>'IF בתוך IF רופאים'!$G34*(1+$A$67)</f>
        <v>25021.920000000002</v>
      </c>
      <c r="K34" s="348">
        <f>'IF בתוך IF רופאים'!$J34-(VLOOKUP('IF בתוך IF רופאים'!$J34,$K$64:$M$67,2)*'IF בתוך IF רופאים'!$J34)</f>
        <v>17515.344000000001</v>
      </c>
      <c r="L34" s="349">
        <f ca="1">VLOOKUP(YEAR(TODAY())-YEAR('IF בתוך IF רופאים'!$D34),'[2]נתונים נוספים'!$A$5:$K$9,VLOOKUP('IF בתוך IF רופאים'!$H34,'[2]נתונים נוספים'!$N$5:$O$14,2,0),1)/$U$10</f>
        <v>447.36842105263162</v>
      </c>
      <c r="M34" s="348">
        <f>'IF בתוך IF רופאים'!$K34/$U$5</f>
        <v>4378.8360000000002</v>
      </c>
      <c r="N34" s="350">
        <f t="shared" si="0"/>
        <v>6</v>
      </c>
      <c r="O34" s="409">
        <f t="shared" si="1"/>
        <v>6</v>
      </c>
      <c r="P34" s="408">
        <f t="shared" si="2"/>
        <v>4</v>
      </c>
      <c r="Q34" t="s">
        <v>566</v>
      </c>
      <c r="S34">
        <v>2</v>
      </c>
    </row>
    <row r="35" spans="1:19" x14ac:dyDescent="0.25">
      <c r="A35" s="351">
        <v>12533</v>
      </c>
      <c r="B35" s="352" t="s">
        <v>479</v>
      </c>
      <c r="C35" s="352" t="s">
        <v>480</v>
      </c>
      <c r="D35" s="353">
        <v>164</v>
      </c>
      <c r="E35" s="352">
        <v>9</v>
      </c>
      <c r="F35" s="352">
        <v>34332</v>
      </c>
      <c r="G35" s="354">
        <v>12424</v>
      </c>
      <c r="H35" s="354" t="s">
        <v>67</v>
      </c>
      <c r="I35" s="352" t="str">
        <f>VLOOKUP('IF בתוך IF רופאים'!$E35,[2]התמחויות!$A$2:$B$16,2,0)</f>
        <v>רפואה פנימית</v>
      </c>
      <c r="J35" s="354">
        <f>'IF בתוך IF רופאים'!$G35*(1+$A$67)</f>
        <v>13914.880000000001</v>
      </c>
      <c r="K35" s="354">
        <f>'IF בתוך IF רופאים'!$J35-(VLOOKUP('IF בתוך IF רופאים'!$J35,$K$64:$M$67,2)*'IF בתוך IF רופאים'!$J35)</f>
        <v>10436.16</v>
      </c>
      <c r="L35" s="355">
        <f ca="1">VLOOKUP(YEAR(TODAY())-YEAR('IF בתוך IF רופאים'!$D35),'[2]נתונים נוספים'!$A$5:$K$9,VLOOKUP('IF בתוך IF רופאים'!$H35,'[2]נתונים נוספים'!$N$5:$O$14,2,0),1)/$U$10</f>
        <v>500</v>
      </c>
      <c r="M35" s="354">
        <f>'IF בתוך IF רופאים'!$K35/$U$5</f>
        <v>2609.04</v>
      </c>
      <c r="N35" s="350">
        <f t="shared" si="0"/>
        <v>2</v>
      </c>
      <c r="O35" s="409">
        <f t="shared" si="1"/>
        <v>6</v>
      </c>
      <c r="P35" s="408">
        <f t="shared" si="2"/>
        <v>4</v>
      </c>
    </row>
    <row r="36" spans="1:19" x14ac:dyDescent="0.25">
      <c r="A36" s="345">
        <v>12534</v>
      </c>
      <c r="B36" s="346" t="s">
        <v>481</v>
      </c>
      <c r="C36" s="346" t="s">
        <v>482</v>
      </c>
      <c r="D36" s="347">
        <v>30224</v>
      </c>
      <c r="E36" s="346">
        <v>10</v>
      </c>
      <c r="F36" s="346">
        <v>108004</v>
      </c>
      <c r="G36" s="348">
        <v>15587</v>
      </c>
      <c r="H36" s="348" t="s">
        <v>325</v>
      </c>
      <c r="I36" s="346" t="str">
        <f>VLOOKUP('IF בתוך IF רופאים'!$E36,[2]התמחויות!$A$2:$B$16,2,0)</f>
        <v>יילוד וגינקולוגיה</v>
      </c>
      <c r="J36" s="348">
        <f>'IF בתוך IF רופאים'!$G36*(1+$A$67)</f>
        <v>17457.440000000002</v>
      </c>
      <c r="K36" s="348">
        <f>'IF בתוך IF רופאים'!$J36-(VLOOKUP('IF בתוך IF רופאים'!$J36,$K$64:$M$67,2)*'IF בתוך IF רופאים'!$J36)</f>
        <v>12220.208000000002</v>
      </c>
      <c r="L36" s="349">
        <f ca="1">VLOOKUP(YEAR(TODAY())-YEAR('IF בתוך IF רופאים'!$D36),'[2]נתונים נוספים'!$A$5:$K$9,VLOOKUP('IF בתוך IF רופאים'!$H36,'[2]נתונים נוספים'!$N$5:$O$14,2,0),1)/$U$10</f>
        <v>578.94736842105272</v>
      </c>
      <c r="M36" s="348">
        <f>'IF בתוך IF רופאים'!$K36/$U$5</f>
        <v>3055.0520000000006</v>
      </c>
      <c r="N36" s="350">
        <f t="shared" si="0"/>
        <v>4</v>
      </c>
      <c r="O36" s="409">
        <f t="shared" si="1"/>
        <v>5</v>
      </c>
      <c r="P36" s="408">
        <f t="shared" si="2"/>
        <v>4</v>
      </c>
    </row>
    <row r="37" spans="1:19" x14ac:dyDescent="0.25">
      <c r="A37" s="351">
        <v>12535</v>
      </c>
      <c r="B37" s="352" t="s">
        <v>483</v>
      </c>
      <c r="C37" s="352" t="s">
        <v>484</v>
      </c>
      <c r="D37" s="353">
        <v>24212</v>
      </c>
      <c r="E37" s="352">
        <v>5</v>
      </c>
      <c r="F37" s="352">
        <v>2756</v>
      </c>
      <c r="G37" s="354">
        <v>24569</v>
      </c>
      <c r="H37" s="354" t="s">
        <v>325</v>
      </c>
      <c r="I37" s="352" t="str">
        <f>VLOOKUP('IF בתוך IF רופאים'!$E37,[2]התמחויות!$A$2:$B$16,2,0)</f>
        <v>פסיכיאטריה</v>
      </c>
      <c r="J37" s="354">
        <f>'IF בתוך IF רופאים'!$G37*(1+$A$67)</f>
        <v>27517.280000000002</v>
      </c>
      <c r="K37" s="354">
        <f>'IF בתוך IF רופאים'!$J37-(VLOOKUP('IF בתוך IF רופאים'!$J37,$K$64:$M$67,2)*'IF בתוך IF רופאים'!$J37)</f>
        <v>19262.096000000001</v>
      </c>
      <c r="L37" s="355">
        <f ca="1">VLOOKUP(YEAR(TODAY())-YEAR('IF בתוך IF רופאים'!$D37),'[2]נתונים נוספים'!$A$5:$K$9,VLOOKUP('IF בתוך IF רופאים'!$H37,'[2]נתונים נוספים'!$N$5:$O$14,2,0),1)/$U$10</f>
        <v>578.94736842105272</v>
      </c>
      <c r="M37" s="354">
        <f>'IF בתוך IF רופאים'!$K37/$U$5</f>
        <v>4815.5240000000003</v>
      </c>
      <c r="N37" s="350">
        <f t="shared" si="0"/>
        <v>4</v>
      </c>
      <c r="O37" s="409">
        <f t="shared" si="1"/>
        <v>6</v>
      </c>
      <c r="P37" s="408">
        <f t="shared" si="2"/>
        <v>4</v>
      </c>
    </row>
    <row r="38" spans="1:19" x14ac:dyDescent="0.25">
      <c r="A38" s="345">
        <v>12536</v>
      </c>
      <c r="B38" s="346" t="s">
        <v>429</v>
      </c>
      <c r="C38" s="346" t="s">
        <v>485</v>
      </c>
      <c r="D38" s="347">
        <v>30224</v>
      </c>
      <c r="E38" s="346">
        <v>2</v>
      </c>
      <c r="F38" s="346">
        <v>89255</v>
      </c>
      <c r="G38" s="348">
        <v>21797</v>
      </c>
      <c r="H38" s="348" t="s">
        <v>407</v>
      </c>
      <c r="I38" s="346" t="str">
        <f>VLOOKUP('IF בתוך IF רופאים'!$E38,[2]התמחויות!$A$2:$B$16,2,0)</f>
        <v>כירורגיה כללית</v>
      </c>
      <c r="J38" s="348">
        <f>'IF בתוך IF רופאים'!$G38*(1+$A$67)</f>
        <v>24412.640000000003</v>
      </c>
      <c r="K38" s="348">
        <f>'IF בתוך IF רופאים'!$J38-(VLOOKUP('IF בתוך IF רופאים'!$J38,$K$64:$M$67,2)*'IF בתוך IF רופאים'!$J38)</f>
        <v>17088.848000000002</v>
      </c>
      <c r="L38" s="349">
        <f ca="1">VLOOKUP(YEAR(TODAY())-YEAR('IF בתוך IF רופאים'!$D38),'[2]נתונים נוספים'!$A$5:$K$9,VLOOKUP('IF בתוך IF רופאים'!$H38,'[2]נתונים נוספים'!$N$5:$O$14,2,0),1)/$U$10</f>
        <v>605.26315789473688</v>
      </c>
      <c r="M38" s="348">
        <f>'IF בתוך IF רופאים'!$K38/$U$5</f>
        <v>4272.2120000000004</v>
      </c>
      <c r="N38" s="350">
        <f t="shared" si="0"/>
        <v>4</v>
      </c>
      <c r="O38" s="409">
        <f t="shared" si="1"/>
        <v>5</v>
      </c>
      <c r="P38" s="408">
        <f t="shared" si="2"/>
        <v>4</v>
      </c>
    </row>
    <row r="39" spans="1:19" x14ac:dyDescent="0.25">
      <c r="A39" s="351">
        <v>12537</v>
      </c>
      <c r="B39" s="352" t="s">
        <v>486</v>
      </c>
      <c r="C39" s="352" t="s">
        <v>487</v>
      </c>
      <c r="D39" s="353">
        <v>24212</v>
      </c>
      <c r="E39" s="352">
        <v>9</v>
      </c>
      <c r="F39" s="352">
        <v>31044</v>
      </c>
      <c r="G39" s="354">
        <v>22215</v>
      </c>
      <c r="H39" s="354" t="s">
        <v>413</v>
      </c>
      <c r="I39" s="352" t="str">
        <f>VLOOKUP('IF בתוך IF רופאים'!$E39,[2]התמחויות!$A$2:$B$16,2,0)</f>
        <v>רפואה פנימית</v>
      </c>
      <c r="J39" s="354">
        <f>'IF בתוך IF רופאים'!$G39*(1+$A$67)</f>
        <v>24880.800000000003</v>
      </c>
      <c r="K39" s="354">
        <f>'IF בתוך IF רופאים'!$J39-(VLOOKUP('IF בתוך IF רופאים'!$J39,$K$64:$M$67,2)*'IF בתוך IF רופאים'!$J39)</f>
        <v>17416.560000000001</v>
      </c>
      <c r="L39" s="355">
        <f ca="1">VLOOKUP(YEAR(TODAY())-YEAR('IF בתוך IF רופאים'!$D39),'[2]נתונים נוספים'!$A$5:$K$9,VLOOKUP('IF בתוך IF רופאים'!$H39,'[2]נתונים נוספים'!$N$5:$O$14,2,0),1)/$U$10</f>
        <v>421.0526315789474</v>
      </c>
      <c r="M39" s="354">
        <f>'IF בתוך IF רופאים'!$K39/$U$5</f>
        <v>4354.1400000000003</v>
      </c>
      <c r="N39" s="350">
        <f t="shared" si="0"/>
        <v>6</v>
      </c>
      <c r="O39" s="409">
        <f t="shared" si="1"/>
        <v>6</v>
      </c>
      <c r="P39" s="408">
        <f t="shared" si="2"/>
        <v>4</v>
      </c>
    </row>
    <row r="40" spans="1:19" x14ac:dyDescent="0.25">
      <c r="A40" s="345">
        <v>12538</v>
      </c>
      <c r="B40" s="346" t="s">
        <v>488</v>
      </c>
      <c r="C40" s="346" t="s">
        <v>489</v>
      </c>
      <c r="D40" s="347">
        <v>30224</v>
      </c>
      <c r="E40" s="346">
        <v>14</v>
      </c>
      <c r="F40" s="346">
        <v>94264</v>
      </c>
      <c r="G40" s="348">
        <v>20910</v>
      </c>
      <c r="H40" s="348" t="s">
        <v>416</v>
      </c>
      <c r="I40" s="346" t="str">
        <f>VLOOKUP('IF בתוך IF רופאים'!$E40,[2]התמחויות!$A$2:$B$16,2,0)</f>
        <v>כירורגיה אורולוגית</v>
      </c>
      <c r="J40" s="348">
        <f>'IF בתוך IF רופאים'!$G40*(1+$A$67)</f>
        <v>23419.200000000001</v>
      </c>
      <c r="K40" s="348">
        <f>'IF בתוך IF רופאים'!$J40-(VLOOKUP('IF בתוך IF רופאים'!$J40,$K$64:$M$67,2)*'IF בתוך IF רופאים'!$J40)</f>
        <v>16393.440000000002</v>
      </c>
      <c r="L40" s="349">
        <f ca="1">VLOOKUP(YEAR(TODAY())-YEAR('IF בתוך IF רופאים'!$D40),'[2]נתונים נוספים'!$A$5:$K$9,VLOOKUP('IF בתוך IF רופאים'!$H40,'[2]נתונים נוספים'!$N$5:$O$14,2,0),1)/$U$10</f>
        <v>447.36842105263162</v>
      </c>
      <c r="M40" s="348">
        <f>'IF בתוך IF רופאים'!$K40/$U$5</f>
        <v>4098.3600000000006</v>
      </c>
      <c r="N40" s="350">
        <f t="shared" si="0"/>
        <v>5</v>
      </c>
      <c r="O40" s="409">
        <f t="shared" si="1"/>
        <v>5</v>
      </c>
      <c r="P40" s="408">
        <f t="shared" si="2"/>
        <v>4</v>
      </c>
    </row>
    <row r="41" spans="1:19" x14ac:dyDescent="0.25">
      <c r="A41" s="351">
        <v>12539</v>
      </c>
      <c r="B41" s="352" t="s">
        <v>490</v>
      </c>
      <c r="C41" s="352" t="s">
        <v>491</v>
      </c>
      <c r="D41" s="353">
        <v>24212</v>
      </c>
      <c r="E41" s="352">
        <v>7</v>
      </c>
      <c r="F41" s="352">
        <v>102905</v>
      </c>
      <c r="G41" s="354">
        <v>13472</v>
      </c>
      <c r="H41" s="354" t="s">
        <v>419</v>
      </c>
      <c r="I41" s="352" t="str">
        <f>VLOOKUP('IF בתוך IF רופאים'!$E41,[2]התמחויות!$A$2:$B$16,2,0)</f>
        <v>רפואת המשפחה</v>
      </c>
      <c r="J41" s="354">
        <f>'IF בתוך IF רופאים'!$G41*(1+$A$67)</f>
        <v>15088.640000000001</v>
      </c>
      <c r="K41" s="354">
        <f>'IF בתוך IF רופאים'!$J41-(VLOOKUP('IF בתוך IF רופאים'!$J41,$K$64:$M$67,2)*'IF בתוך IF רופאים'!$J41)</f>
        <v>10562.048000000001</v>
      </c>
      <c r="L41" s="355">
        <f ca="1">VLOOKUP(YEAR(TODAY())-YEAR('IF בתוך IF רופאים'!$D41),'[2]נתונים נוספים'!$A$5:$K$9,VLOOKUP('IF בתוך IF רופאים'!$H41,'[2]נתונים נוספים'!$N$5:$O$14,2,0),1)/$U$10</f>
        <v>473.68421052631584</v>
      </c>
      <c r="M41" s="354">
        <f>'IF בתוך IF רופאים'!$K41/$U$5</f>
        <v>2640.5120000000002</v>
      </c>
      <c r="N41" s="350">
        <f t="shared" si="0"/>
        <v>2</v>
      </c>
      <c r="O41" s="409">
        <f t="shared" si="1"/>
        <v>6</v>
      </c>
      <c r="P41" s="408">
        <f t="shared" si="2"/>
        <v>4</v>
      </c>
    </row>
    <row r="42" spans="1:19" x14ac:dyDescent="0.25">
      <c r="A42" s="345">
        <v>12540</v>
      </c>
      <c r="B42" s="346" t="s">
        <v>492</v>
      </c>
      <c r="C42" s="346" t="s">
        <v>493</v>
      </c>
      <c r="D42" s="347">
        <v>30224</v>
      </c>
      <c r="E42" s="346">
        <v>7</v>
      </c>
      <c r="F42" s="346">
        <v>49137</v>
      </c>
      <c r="G42" s="348">
        <v>17377</v>
      </c>
      <c r="H42" s="348" t="s">
        <v>67</v>
      </c>
      <c r="I42" s="346" t="str">
        <f>VLOOKUP('IF בתוך IF רופאים'!$E42,[2]התמחויות!$A$2:$B$16,2,0)</f>
        <v>רפואת המשפחה</v>
      </c>
      <c r="J42" s="348">
        <f>'IF בתוך IF רופאים'!$G42*(1+$A$67)</f>
        <v>19462.240000000002</v>
      </c>
      <c r="K42" s="348">
        <f>'IF בתוך IF רופאים'!$J42-(VLOOKUP('IF בתוך IF רופאים'!$J42,$K$64:$M$67,2)*'IF בתוך IF רופאים'!$J42)</f>
        <v>13623.568000000001</v>
      </c>
      <c r="L42" s="349">
        <f ca="1">VLOOKUP(YEAR(TODAY())-YEAR('IF בתוך IF רופאים'!$D42),'[2]נתונים נוספים'!$A$5:$K$9,VLOOKUP('IF בתוך IF רופאים'!$H42,'[2]נתונים נוספים'!$N$5:$O$14,2,0),1)/$U$10</f>
        <v>500</v>
      </c>
      <c r="M42" s="348">
        <f>'IF בתוך IF רופאים'!$K42/$U$5</f>
        <v>3405.8920000000003</v>
      </c>
      <c r="N42" s="350">
        <f t="shared" si="0"/>
        <v>2</v>
      </c>
      <c r="O42" s="409">
        <f t="shared" si="1"/>
        <v>5</v>
      </c>
      <c r="P42" s="408">
        <f t="shared" si="2"/>
        <v>4</v>
      </c>
    </row>
    <row r="43" spans="1:19" x14ac:dyDescent="0.25">
      <c r="A43" s="351">
        <v>12541</v>
      </c>
      <c r="B43" s="352" t="s">
        <v>494</v>
      </c>
      <c r="C43" s="352" t="s">
        <v>495</v>
      </c>
      <c r="D43" s="353">
        <v>24212</v>
      </c>
      <c r="E43" s="352">
        <v>2</v>
      </c>
      <c r="F43" s="352">
        <v>6766</v>
      </c>
      <c r="G43" s="354">
        <v>23466</v>
      </c>
      <c r="H43" s="354" t="s">
        <v>66</v>
      </c>
      <c r="I43" s="352" t="str">
        <f>VLOOKUP('IF בתוך IF רופאים'!$E43,[2]התמחויות!$A$2:$B$16,2,0)</f>
        <v>כירורגיה כללית</v>
      </c>
      <c r="J43" s="354">
        <f>'IF בתוך IF רופאים'!$G43*(1+$A$67)</f>
        <v>26281.920000000002</v>
      </c>
      <c r="K43" s="354">
        <f>'IF בתוך IF רופאים'!$J43-(VLOOKUP('IF בתוך IF רופאים'!$J43,$K$64:$M$67,2)*'IF בתוך IF רופאים'!$J43)</f>
        <v>18397.344000000001</v>
      </c>
      <c r="L43" s="355">
        <f ca="1">VLOOKUP(YEAR(TODAY())-YEAR('IF בתוך IF רופאים'!$D43),'[2]נתונים נוספים'!$A$5:$K$9,VLOOKUP('IF בתוך IF רופאים'!$H43,'[2]נתונים נוספים'!$N$5:$O$14,2,0),1)/$U$10</f>
        <v>526.31578947368428</v>
      </c>
      <c r="M43" s="354">
        <f>'IF בתוך IF רופאים'!$K43/$U$5</f>
        <v>4599.3360000000002</v>
      </c>
      <c r="N43" s="350">
        <f t="shared" si="0"/>
        <v>2</v>
      </c>
      <c r="O43" s="409">
        <f t="shared" si="1"/>
        <v>6</v>
      </c>
      <c r="P43" s="408">
        <f t="shared" si="2"/>
        <v>4</v>
      </c>
    </row>
    <row r="44" spans="1:19" x14ac:dyDescent="0.25">
      <c r="A44" s="345">
        <v>12542</v>
      </c>
      <c r="B44" s="346" t="s">
        <v>496</v>
      </c>
      <c r="C44" s="346" t="s">
        <v>497</v>
      </c>
      <c r="D44" s="347">
        <v>30224</v>
      </c>
      <c r="E44" s="346">
        <v>1</v>
      </c>
      <c r="F44" s="346">
        <v>536762</v>
      </c>
      <c r="G44" s="348">
        <v>22918</v>
      </c>
      <c r="H44" s="348" t="s">
        <v>245</v>
      </c>
      <c r="I44" s="346" t="str">
        <f>VLOOKUP('IF בתוך IF רופאים'!$E44,[2]התמחויות!$A$2:$B$16,2,0)</f>
        <v>רפואת ילדים</v>
      </c>
      <c r="J44" s="348">
        <f>'IF בתוך IF רופאים'!$G44*(1+$A$67)</f>
        <v>25668.160000000003</v>
      </c>
      <c r="K44" s="348">
        <f>'IF בתוך IF רופאים'!$J44-(VLOOKUP('IF בתוך IF רופאים'!$J44,$K$64:$M$67,2)*'IF בתוך IF רופאים'!$J44)</f>
        <v>17967.712000000003</v>
      </c>
      <c r="L44" s="349">
        <f ca="1">VLOOKUP(YEAR(TODAY())-YEAR('IF בתוך IF רופאים'!$D44),'[2]נתונים נוספים'!$A$5:$K$9,VLOOKUP('IF בתוך IF רופאים'!$H44,'[2]נתונים נוספים'!$N$5:$O$14,2,0),1)/$U$10</f>
        <v>552.63157894736844</v>
      </c>
      <c r="M44" s="348">
        <f>'IF בתוך IF רופאים'!$K44/$U$5</f>
        <v>4491.9280000000008</v>
      </c>
      <c r="N44" s="350">
        <f t="shared" si="0"/>
        <v>2</v>
      </c>
      <c r="O44" s="409">
        <f t="shared" si="1"/>
        <v>5</v>
      </c>
      <c r="P44" s="408">
        <f t="shared" si="2"/>
        <v>4</v>
      </c>
    </row>
    <row r="45" spans="1:19" x14ac:dyDescent="0.25">
      <c r="A45" s="351">
        <v>12543</v>
      </c>
      <c r="B45" s="352" t="s">
        <v>496</v>
      </c>
      <c r="C45" s="352" t="s">
        <v>498</v>
      </c>
      <c r="D45" s="353">
        <v>24212</v>
      </c>
      <c r="E45" s="352">
        <v>1</v>
      </c>
      <c r="F45" s="352">
        <v>114294</v>
      </c>
      <c r="G45" s="354">
        <v>24792</v>
      </c>
      <c r="H45" s="354" t="s">
        <v>325</v>
      </c>
      <c r="I45" s="352" t="str">
        <f>VLOOKUP('IF בתוך IF רופאים'!$E45,[2]התמחויות!$A$2:$B$16,2,0)</f>
        <v>רפואת ילדים</v>
      </c>
      <c r="J45" s="354">
        <f>'IF בתוך IF רופאים'!$G45*(1+$A$67)</f>
        <v>27767.040000000001</v>
      </c>
      <c r="K45" s="354">
        <f>'IF בתוך IF רופאים'!$J45-(VLOOKUP('IF בתוך IF רופאים'!$J45,$K$64:$M$67,2)*'IF בתוך IF רופאים'!$J45)</f>
        <v>19436.928</v>
      </c>
      <c r="L45" s="355">
        <f ca="1">VLOOKUP(YEAR(TODAY())-YEAR('IF בתוך IF רופאים'!$D45),'[2]נתונים נוספים'!$A$5:$K$9,VLOOKUP('IF בתוך IF רופאים'!$H45,'[2]נתונים נוספים'!$N$5:$O$14,2,0),1)/$U$10</f>
        <v>578.94736842105272</v>
      </c>
      <c r="M45" s="354">
        <f>'IF בתוך IF רופאים'!$K45/$U$5</f>
        <v>4859.232</v>
      </c>
      <c r="N45" s="350">
        <f t="shared" si="0"/>
        <v>4</v>
      </c>
      <c r="O45" s="409">
        <f t="shared" si="1"/>
        <v>6</v>
      </c>
      <c r="P45" s="408">
        <f t="shared" si="2"/>
        <v>4</v>
      </c>
    </row>
    <row r="46" spans="1:19" x14ac:dyDescent="0.25">
      <c r="A46" s="345">
        <v>12544</v>
      </c>
      <c r="B46" s="346" t="s">
        <v>496</v>
      </c>
      <c r="C46" s="346" t="s">
        <v>499</v>
      </c>
      <c r="D46" s="347">
        <v>30224</v>
      </c>
      <c r="E46" s="346">
        <v>1</v>
      </c>
      <c r="F46" s="346">
        <v>63008</v>
      </c>
      <c r="G46" s="348">
        <v>15826</v>
      </c>
      <c r="H46" s="348" t="s">
        <v>325</v>
      </c>
      <c r="I46" s="346" t="str">
        <f>VLOOKUP('IF בתוך IF רופאים'!$E46,[2]התמחויות!$A$2:$B$16,2,0)</f>
        <v>רפואת ילדים</v>
      </c>
      <c r="J46" s="348">
        <f>'IF בתוך IF רופאים'!$G46*(1+$A$67)</f>
        <v>17725.120000000003</v>
      </c>
      <c r="K46" s="348">
        <f>'IF בתוך IF רופאים'!$J46-(VLOOKUP('IF בתוך IF רופאים'!$J46,$K$64:$M$67,2)*'IF בתוך IF רופאים'!$J46)</f>
        <v>12407.584000000003</v>
      </c>
      <c r="L46" s="349">
        <f ca="1">VLOOKUP(YEAR(TODAY())-YEAR('IF בתוך IF רופאים'!$D46),'[2]נתונים נוספים'!$A$5:$K$9,VLOOKUP('IF בתוך IF רופאים'!$H46,'[2]נתונים נוספים'!$N$5:$O$14,2,0),1)/$U$10</f>
        <v>578.94736842105272</v>
      </c>
      <c r="M46" s="348">
        <f>'IF בתוך IF רופאים'!$K46/$U$5</f>
        <v>3101.8960000000006</v>
      </c>
      <c r="N46" s="350">
        <f t="shared" si="0"/>
        <v>4</v>
      </c>
      <c r="O46" s="409">
        <f t="shared" si="1"/>
        <v>5</v>
      </c>
      <c r="P46" s="408">
        <f t="shared" si="2"/>
        <v>4</v>
      </c>
    </row>
    <row r="47" spans="1:19" x14ac:dyDescent="0.25">
      <c r="A47" s="351">
        <v>12545</v>
      </c>
      <c r="B47" s="352" t="s">
        <v>500</v>
      </c>
      <c r="C47" s="352" t="s">
        <v>501</v>
      </c>
      <c r="D47" s="353">
        <v>24212</v>
      </c>
      <c r="E47" s="352">
        <v>5</v>
      </c>
      <c r="F47" s="352">
        <v>61249</v>
      </c>
      <c r="G47" s="354">
        <v>9983</v>
      </c>
      <c r="H47" s="354" t="s">
        <v>407</v>
      </c>
      <c r="I47" s="352" t="str">
        <f>VLOOKUP('IF בתוך IF רופאים'!$E47,[2]התמחויות!$A$2:$B$16,2,0)</f>
        <v>פסיכיאטריה</v>
      </c>
      <c r="J47" s="354">
        <f>'IF בתוך IF רופאים'!$G47*(1+$A$67)</f>
        <v>11180.960000000001</v>
      </c>
      <c r="K47" s="354">
        <f>'IF בתוך IF רופאים'!$J47-(VLOOKUP('IF בתוך IF רופאים'!$J47,$K$64:$M$67,2)*'IF בתוך IF רופאים'!$J47)</f>
        <v>8385.7200000000012</v>
      </c>
      <c r="L47" s="355">
        <f ca="1">VLOOKUP(YEAR(TODAY())-YEAR('IF בתוך IF רופאים'!$D47),'[2]נתונים נוספים'!$A$5:$K$9,VLOOKUP('IF בתוך IF רופאים'!$H47,'[2]נתונים נוספים'!$N$5:$O$14,2,0),1)/$U$10</f>
        <v>605.26315789473688</v>
      </c>
      <c r="M47" s="354">
        <f>'IF בתוך IF רופאים'!$K47/$U$5</f>
        <v>2096.4300000000003</v>
      </c>
      <c r="N47" s="350">
        <f t="shared" si="0"/>
        <v>4</v>
      </c>
      <c r="O47" s="409">
        <f t="shared" si="1"/>
        <v>6</v>
      </c>
      <c r="P47" s="408">
        <f t="shared" si="2"/>
        <v>4</v>
      </c>
    </row>
    <row r="48" spans="1:19" x14ac:dyDescent="0.25">
      <c r="A48" s="345">
        <v>12546</v>
      </c>
      <c r="B48" s="346" t="s">
        <v>502</v>
      </c>
      <c r="C48" s="346" t="s">
        <v>503</v>
      </c>
      <c r="D48" s="347">
        <v>30224</v>
      </c>
      <c r="E48" s="346">
        <v>15</v>
      </c>
      <c r="F48" s="346">
        <v>105618</v>
      </c>
      <c r="G48" s="348">
        <v>15009</v>
      </c>
      <c r="H48" s="348" t="s">
        <v>413</v>
      </c>
      <c r="I48" s="346" t="str">
        <f>VLOOKUP('IF בתוך IF רופאים'!$E48,[2]התמחויות!$A$2:$B$16,2,0)</f>
        <v>נפרולוגיה</v>
      </c>
      <c r="J48" s="348">
        <f>'IF בתוך IF רופאים'!$G48*(1+$A$67)</f>
        <v>16810.080000000002</v>
      </c>
      <c r="K48" s="348">
        <f>'IF בתוך IF רופאים'!$J48-(VLOOKUP('IF בתוך IF רופאים'!$J48,$K$64:$M$67,2)*'IF בתוך IF רופאים'!$J48)</f>
        <v>11767.056</v>
      </c>
      <c r="L48" s="349">
        <f ca="1">VLOOKUP(YEAR(TODAY())-YEAR('IF בתוך IF רופאים'!$D48),'[2]נתונים נוספים'!$A$5:$K$9,VLOOKUP('IF בתוך IF רופאים'!$H48,'[2]נתונים נוספים'!$N$5:$O$14,2,0),1)/$U$10</f>
        <v>421.0526315789474</v>
      </c>
      <c r="M48" s="348">
        <f>'IF בתוך IF רופאים'!$K48/$U$5</f>
        <v>2941.7640000000001</v>
      </c>
      <c r="N48" s="350">
        <f t="shared" si="0"/>
        <v>5</v>
      </c>
      <c r="O48" s="409">
        <f t="shared" si="1"/>
        <v>5</v>
      </c>
      <c r="P48" s="408">
        <f t="shared" si="2"/>
        <v>4</v>
      </c>
    </row>
    <row r="49" spans="1:16" x14ac:dyDescent="0.25">
      <c r="A49" s="351">
        <v>12547</v>
      </c>
      <c r="B49" s="352" t="s">
        <v>504</v>
      </c>
      <c r="C49" s="352" t="s">
        <v>505</v>
      </c>
      <c r="D49" s="353">
        <v>24212</v>
      </c>
      <c r="E49" s="352">
        <v>9</v>
      </c>
      <c r="F49" s="352">
        <v>37669</v>
      </c>
      <c r="G49" s="354">
        <v>16462</v>
      </c>
      <c r="H49" s="354" t="s">
        <v>245</v>
      </c>
      <c r="I49" s="352" t="str">
        <f>VLOOKUP('IF בתוך IF רופאים'!$E49,[2]התמחויות!$A$2:$B$16,2,0)</f>
        <v>רפואה פנימית</v>
      </c>
      <c r="J49" s="354">
        <f>'IF בתוך IF רופאים'!$G49*(1+$A$67)</f>
        <v>18437.440000000002</v>
      </c>
      <c r="K49" s="354">
        <f>'IF בתוך IF רופאים'!$J49-(VLOOKUP('IF בתוך IF רופאים'!$J49,$K$64:$M$67,2)*'IF בתוך IF רופאים'!$J49)</f>
        <v>12906.208000000002</v>
      </c>
      <c r="L49" s="355">
        <f ca="1">VLOOKUP(YEAR(TODAY())-YEAR('IF בתוך IF רופאים'!$D49),'[2]נתונים נוספים'!$A$5:$K$9,VLOOKUP('IF בתוך IF רופאים'!$H49,'[2]נתונים נוספים'!$N$5:$O$14,2,0),1)/$U$10</f>
        <v>552.63157894736844</v>
      </c>
      <c r="M49" s="354">
        <f>'IF בתוך IF רופאים'!$K49/$U$5</f>
        <v>3226.5520000000006</v>
      </c>
      <c r="N49" s="350">
        <f t="shared" si="0"/>
        <v>2</v>
      </c>
      <c r="O49" s="409">
        <f t="shared" si="1"/>
        <v>6</v>
      </c>
      <c r="P49" s="408">
        <f t="shared" si="2"/>
        <v>4</v>
      </c>
    </row>
    <row r="50" spans="1:16" x14ac:dyDescent="0.25">
      <c r="A50" s="345">
        <v>12548</v>
      </c>
      <c r="B50" s="346" t="s">
        <v>459</v>
      </c>
      <c r="C50" s="346" t="s">
        <v>506</v>
      </c>
      <c r="D50" s="347">
        <v>30224</v>
      </c>
      <c r="E50" s="346">
        <v>10</v>
      </c>
      <c r="F50" s="346">
        <v>9143</v>
      </c>
      <c r="G50" s="348">
        <v>22076</v>
      </c>
      <c r="H50" s="348" t="s">
        <v>438</v>
      </c>
      <c r="I50" s="346" t="str">
        <f>VLOOKUP('IF בתוך IF רופאים'!$E50,[2]התמחויות!$A$2:$B$16,2,0)</f>
        <v>יילוד וגינקולוגיה</v>
      </c>
      <c r="J50" s="348">
        <f>'IF בתוך IF רופאים'!$G50*(1+$A$67)</f>
        <v>24725.120000000003</v>
      </c>
      <c r="K50" s="348">
        <f>'IF בתוך IF רופאים'!$J50-(VLOOKUP('IF בתוך IF רופאים'!$J50,$K$64:$M$67,2)*'IF בתוך IF רופאים'!$J50)</f>
        <v>17307.584000000003</v>
      </c>
      <c r="L50" s="349">
        <f ca="1">VLOOKUP(YEAR(TODAY())-YEAR('IF בתוך IF רופאים'!$D50),'[2]נתונים נוספים'!$A$5:$K$9,VLOOKUP('IF בתוך IF רופאים'!$H50,'[2]נתונים נוספים'!$N$5:$O$14,2,0),1)/$U$10</f>
        <v>631.57894736842104</v>
      </c>
      <c r="M50" s="348">
        <f>'IF בתוך IF רופאים'!$K50/$U$5</f>
        <v>4326.8960000000006</v>
      </c>
      <c r="N50" s="350">
        <f t="shared" si="0"/>
        <v>2</v>
      </c>
      <c r="O50" s="409">
        <f t="shared" si="1"/>
        <v>5</v>
      </c>
      <c r="P50" s="408">
        <f t="shared" si="2"/>
        <v>4</v>
      </c>
    </row>
    <row r="51" spans="1:16" x14ac:dyDescent="0.25">
      <c r="A51" s="351">
        <v>12549</v>
      </c>
      <c r="B51" s="352" t="s">
        <v>507</v>
      </c>
      <c r="C51" s="352" t="s">
        <v>508</v>
      </c>
      <c r="D51" s="353">
        <v>24212</v>
      </c>
      <c r="E51" s="352">
        <v>5</v>
      </c>
      <c r="F51" s="352">
        <v>44040</v>
      </c>
      <c r="G51" s="354">
        <v>8948</v>
      </c>
      <c r="H51" s="354" t="s">
        <v>416</v>
      </c>
      <c r="I51" s="352" t="str">
        <f>VLOOKUP('IF בתוך IF רופאים'!$E51,[2]התמחויות!$A$2:$B$16,2,0)</f>
        <v>פסיכיאטריה</v>
      </c>
      <c r="J51" s="354">
        <f>'IF בתוך IF רופאים'!$G51*(1+$A$67)</f>
        <v>10021.76</v>
      </c>
      <c r="K51" s="354">
        <f>'IF בתוך IF רופאים'!$J51-(VLOOKUP('IF בתוך IF רופאים'!$J51,$K$64:$M$67,2)*'IF בתוך IF רופאים'!$J51)</f>
        <v>7516.32</v>
      </c>
      <c r="L51" s="355">
        <f ca="1">VLOOKUP(YEAR(TODAY())-YEAR('IF בתוך IF רופאים'!$D51),'[2]נתונים נוספים'!$A$5:$K$9,VLOOKUP('IF בתוך IF רופאים'!$H51,'[2]נתונים נוספים'!$N$5:$O$14,2,0),1)/$U$10</f>
        <v>447.36842105263162</v>
      </c>
      <c r="M51" s="354">
        <f>'IF בתוך IF רופאים'!$K51/$U$5</f>
        <v>1879.08</v>
      </c>
      <c r="N51" s="350">
        <f t="shared" si="0"/>
        <v>6</v>
      </c>
      <c r="O51" s="409">
        <f t="shared" si="1"/>
        <v>6</v>
      </c>
      <c r="P51" s="408">
        <f t="shared" si="2"/>
        <v>3</v>
      </c>
    </row>
    <row r="52" spans="1:16" x14ac:dyDescent="0.25">
      <c r="A52" s="345">
        <v>12550</v>
      </c>
      <c r="B52" s="346" t="s">
        <v>509</v>
      </c>
      <c r="C52" s="346" t="s">
        <v>510</v>
      </c>
      <c r="D52" s="347">
        <v>30224</v>
      </c>
      <c r="E52" s="346">
        <v>5</v>
      </c>
      <c r="F52" s="346">
        <v>13991</v>
      </c>
      <c r="G52" s="348">
        <v>13540</v>
      </c>
      <c r="H52" s="348" t="s">
        <v>67</v>
      </c>
      <c r="I52" s="346" t="str">
        <f>VLOOKUP('IF בתוך IF רופאים'!$E52,[2]התמחויות!$A$2:$B$16,2,0)</f>
        <v>פסיכיאטריה</v>
      </c>
      <c r="J52" s="348">
        <f>'IF בתוך IF רופאים'!$G52*(1+$A$67)</f>
        <v>15164.800000000001</v>
      </c>
      <c r="K52" s="348">
        <f>'IF בתוך IF רופאים'!$J52-(VLOOKUP('IF בתוך IF רופאים'!$J52,$K$64:$M$67,2)*'IF בתוך IF רופאים'!$J52)</f>
        <v>10615.36</v>
      </c>
      <c r="L52" s="349">
        <f ca="1">VLOOKUP(YEAR(TODAY())-YEAR('IF בתוך IF רופאים'!$D52),'[2]נתונים נוספים'!$A$5:$K$9,VLOOKUP('IF בתוך IF רופאים'!$H52,'[2]נתונים נוספים'!$N$5:$O$14,2,0),1)/$U$10</f>
        <v>500</v>
      </c>
      <c r="M52" s="348">
        <f>'IF בתוך IF רופאים'!$K52/$U$5</f>
        <v>2653.84</v>
      </c>
      <c r="N52" s="350">
        <f t="shared" si="0"/>
        <v>2</v>
      </c>
      <c r="O52" s="409">
        <f t="shared" si="1"/>
        <v>5</v>
      </c>
      <c r="P52" s="408">
        <f t="shared" si="2"/>
        <v>4</v>
      </c>
    </row>
    <row r="53" spans="1:16" x14ac:dyDescent="0.25">
      <c r="A53" s="351">
        <v>12551</v>
      </c>
      <c r="B53" s="352" t="s">
        <v>511</v>
      </c>
      <c r="C53" s="352" t="s">
        <v>512</v>
      </c>
      <c r="D53" s="353">
        <v>24212</v>
      </c>
      <c r="E53" s="352">
        <v>2</v>
      </c>
      <c r="F53" s="352">
        <v>106725</v>
      </c>
      <c r="G53" s="354">
        <v>20772</v>
      </c>
      <c r="H53" s="354" t="s">
        <v>325</v>
      </c>
      <c r="I53" s="352" t="str">
        <f>VLOOKUP('IF בתוך IF רופאים'!$E53,[2]התמחויות!$A$2:$B$16,2,0)</f>
        <v>כירורגיה כללית</v>
      </c>
      <c r="J53" s="354">
        <f>'IF בתוך IF רופאים'!$G53*(1+$A$67)</f>
        <v>23264.640000000003</v>
      </c>
      <c r="K53" s="354">
        <f>'IF בתוך IF רופאים'!$J53-(VLOOKUP('IF בתוך IF רופאים'!$J53,$K$64:$M$67,2)*'IF בתוך IF רופאים'!$J53)</f>
        <v>16285.248000000003</v>
      </c>
      <c r="L53" s="355">
        <f ca="1">VLOOKUP(YEAR(TODAY())-YEAR('IF בתוך IF רופאים'!$D53),'[2]נתונים נוספים'!$A$5:$K$9,VLOOKUP('IF בתוך IF רופאים'!$H53,'[2]נתונים נוספים'!$N$5:$O$14,2,0),1)/$U$10</f>
        <v>578.94736842105272</v>
      </c>
      <c r="M53" s="354">
        <f>'IF בתוך IF רופאים'!$K53/$U$5</f>
        <v>4071.3120000000008</v>
      </c>
      <c r="N53" s="350">
        <f t="shared" si="0"/>
        <v>4</v>
      </c>
      <c r="O53" s="409">
        <f t="shared" si="1"/>
        <v>6</v>
      </c>
      <c r="P53" s="408">
        <f t="shared" si="2"/>
        <v>4</v>
      </c>
    </row>
    <row r="54" spans="1:16" x14ac:dyDescent="0.25">
      <c r="A54" s="345">
        <v>12552</v>
      </c>
      <c r="B54" s="346" t="s">
        <v>513</v>
      </c>
      <c r="C54" s="346" t="s">
        <v>514</v>
      </c>
      <c r="D54" s="347">
        <v>30224</v>
      </c>
      <c r="E54" s="346">
        <v>9</v>
      </c>
      <c r="F54" s="346">
        <v>779695</v>
      </c>
      <c r="G54" s="348">
        <v>17867</v>
      </c>
      <c r="H54" s="348" t="s">
        <v>325</v>
      </c>
      <c r="I54" s="346" t="str">
        <f>VLOOKUP('IF בתוך IF רופאים'!$E54,[2]התמחויות!$A$2:$B$16,2,0)</f>
        <v>רפואה פנימית</v>
      </c>
      <c r="J54" s="348">
        <f>'IF בתוך IF רופאים'!$G54*(1+$A$67)</f>
        <v>20011.04</v>
      </c>
      <c r="K54" s="348">
        <f>'IF בתוך IF רופאים'!$J54-(VLOOKUP('IF בתוך IF רופאים'!$J54,$K$64:$M$67,2)*'IF בתוך IF רופאים'!$J54)</f>
        <v>14007.728000000001</v>
      </c>
      <c r="L54" s="349">
        <f ca="1">VLOOKUP(YEAR(TODAY())-YEAR('IF בתוך IF רופאים'!$D54),'[2]נתונים נוספים'!$A$5:$K$9,VLOOKUP('IF בתוך IF רופאים'!$H54,'[2]נתונים נוספים'!$N$5:$O$14,2,0),1)/$U$10</f>
        <v>578.94736842105272</v>
      </c>
      <c r="M54" s="348">
        <f>'IF בתוך IF רופאים'!$K54/$U$5</f>
        <v>3501.9320000000002</v>
      </c>
      <c r="N54" s="350">
        <f t="shared" si="0"/>
        <v>4</v>
      </c>
      <c r="O54" s="409">
        <f t="shared" si="1"/>
        <v>5</v>
      </c>
      <c r="P54" s="408">
        <f t="shared" si="2"/>
        <v>4</v>
      </c>
    </row>
    <row r="55" spans="1:16" x14ac:dyDescent="0.25">
      <c r="A55" s="351">
        <v>12553</v>
      </c>
      <c r="B55" s="352" t="s">
        <v>496</v>
      </c>
      <c r="C55" s="352" t="s">
        <v>515</v>
      </c>
      <c r="D55" s="353">
        <v>24212</v>
      </c>
      <c r="E55" s="352">
        <v>14</v>
      </c>
      <c r="F55" s="352">
        <v>7775</v>
      </c>
      <c r="G55" s="354">
        <v>21419</v>
      </c>
      <c r="H55" s="354" t="s">
        <v>407</v>
      </c>
      <c r="I55" s="352" t="str">
        <f>VLOOKUP('IF בתוך IF רופאים'!$E55,[2]התמחויות!$A$2:$B$16,2,0)</f>
        <v>כירורגיה אורולוגית</v>
      </c>
      <c r="J55" s="354">
        <f>'IF בתוך IF רופאים'!$G55*(1+$A$67)</f>
        <v>23989.280000000002</v>
      </c>
      <c r="K55" s="354">
        <f>'IF בתוך IF רופאים'!$J55-(VLOOKUP('IF בתוך IF רופאים'!$J55,$K$64:$M$67,2)*'IF בתוך IF רופאים'!$J55)</f>
        <v>16792.496000000003</v>
      </c>
      <c r="L55" s="355">
        <f ca="1">VLOOKUP(YEAR(TODAY())-YEAR('IF בתוך IF רופאים'!$D55),'[2]נתונים נוספים'!$A$5:$K$9,VLOOKUP('IF בתוך IF רופאים'!$H55,'[2]נתונים נוספים'!$N$5:$O$14,2,0),1)/$U$10</f>
        <v>605.26315789473688</v>
      </c>
      <c r="M55" s="354">
        <f>'IF בתוך IF רופאים'!$K55/$U$5</f>
        <v>4198.1240000000007</v>
      </c>
      <c r="N55" s="350">
        <f t="shared" si="0"/>
        <v>4</v>
      </c>
      <c r="O55" s="409">
        <f t="shared" si="1"/>
        <v>6</v>
      </c>
      <c r="P55" s="408">
        <f t="shared" si="2"/>
        <v>4</v>
      </c>
    </row>
    <row r="56" spans="1:16" x14ac:dyDescent="0.25">
      <c r="A56" s="345">
        <v>12554</v>
      </c>
      <c r="B56" s="346" t="s">
        <v>496</v>
      </c>
      <c r="C56" s="346" t="s">
        <v>516</v>
      </c>
      <c r="D56" s="347">
        <v>30224</v>
      </c>
      <c r="E56" s="346">
        <v>7</v>
      </c>
      <c r="F56" s="346">
        <v>48479</v>
      </c>
      <c r="G56" s="348">
        <v>24227</v>
      </c>
      <c r="H56" s="348" t="s">
        <v>413</v>
      </c>
      <c r="I56" s="346" t="str">
        <f>VLOOKUP('IF בתוך IF רופאים'!$E56,[2]התמחויות!$A$2:$B$16,2,0)</f>
        <v>רפואת המשפחה</v>
      </c>
      <c r="J56" s="348">
        <f>'IF בתוך IF רופאים'!$G56*(1+$A$67)</f>
        <v>27134.240000000002</v>
      </c>
      <c r="K56" s="348">
        <f>'IF בתוך IF רופאים'!$J56-(VLOOKUP('IF בתוך IF רופאים'!$J56,$K$64:$M$67,2)*'IF בתוך IF רופאים'!$J56)</f>
        <v>18993.968000000001</v>
      </c>
      <c r="L56" s="349">
        <f ca="1">VLOOKUP(YEAR(TODAY())-YEAR('IF בתוך IF רופאים'!$D56),'[2]נתונים נוספים'!$A$5:$K$9,VLOOKUP('IF בתוך IF רופאים'!$H56,'[2]נתונים נוספים'!$N$5:$O$14,2,0),1)/$U$10</f>
        <v>421.0526315789474</v>
      </c>
      <c r="M56" s="348">
        <f>'IF בתוך IF רופאים'!$K56/$U$5</f>
        <v>4748.4920000000002</v>
      </c>
      <c r="N56" s="350">
        <f t="shared" si="0"/>
        <v>5</v>
      </c>
      <c r="O56" s="409">
        <f t="shared" si="1"/>
        <v>5</v>
      </c>
      <c r="P56" s="408">
        <f t="shared" si="2"/>
        <v>4</v>
      </c>
    </row>
    <row r="57" spans="1:16" x14ac:dyDescent="0.25">
      <c r="A57" s="351">
        <v>12555</v>
      </c>
      <c r="B57" s="352" t="s">
        <v>496</v>
      </c>
      <c r="C57" s="352" t="s">
        <v>517</v>
      </c>
      <c r="D57" s="353">
        <v>24212</v>
      </c>
      <c r="E57" s="352">
        <v>5</v>
      </c>
      <c r="F57" s="352">
        <v>34526</v>
      </c>
      <c r="G57" s="354">
        <v>17236</v>
      </c>
      <c r="H57" s="354" t="s">
        <v>245</v>
      </c>
      <c r="I57" s="352" t="str">
        <f>VLOOKUP('IF בתוך IF רופאים'!$E57,[2]התמחויות!$A$2:$B$16,2,0)</f>
        <v>פסיכיאטריה</v>
      </c>
      <c r="J57" s="354">
        <f>'IF בתוך IF רופאים'!$G57*(1+$A$67)</f>
        <v>19304.320000000003</v>
      </c>
      <c r="K57" s="354">
        <f>'IF בתוך IF רופאים'!$J57-(VLOOKUP('IF בתוך IF רופאים'!$J57,$K$64:$M$67,2)*'IF בתוך IF רופאים'!$J57)</f>
        <v>13513.024000000001</v>
      </c>
      <c r="L57" s="355">
        <f ca="1">VLOOKUP(YEAR(TODAY())-YEAR('IF בתוך IF רופאים'!$D57),'[2]נתונים נוספים'!$A$5:$K$9,VLOOKUP('IF בתוך IF רופאים'!$H57,'[2]נתונים נוספים'!$N$5:$O$14,2,0),1)/$U$10</f>
        <v>552.63157894736844</v>
      </c>
      <c r="M57" s="354">
        <f>'IF בתוך IF רופאים'!$K57/$U$5</f>
        <v>3378.2560000000003</v>
      </c>
      <c r="N57" s="350">
        <f t="shared" si="0"/>
        <v>2</v>
      </c>
      <c r="O57" s="409">
        <f t="shared" si="1"/>
        <v>6</v>
      </c>
      <c r="P57" s="408">
        <f t="shared" si="2"/>
        <v>4</v>
      </c>
    </row>
    <row r="58" spans="1:16" x14ac:dyDescent="0.25">
      <c r="A58" s="345">
        <v>12556</v>
      </c>
      <c r="B58" s="346" t="s">
        <v>461</v>
      </c>
      <c r="C58" s="346" t="s">
        <v>518</v>
      </c>
      <c r="D58" s="347">
        <v>30224</v>
      </c>
      <c r="E58" s="346">
        <v>1</v>
      </c>
      <c r="F58" s="346">
        <v>72658</v>
      </c>
      <c r="G58" s="348">
        <v>20006</v>
      </c>
      <c r="H58" s="348" t="s">
        <v>438</v>
      </c>
      <c r="I58" s="346" t="str">
        <f>VLOOKUP('IF בתוך IF רופאים'!$E58,[2]התמחויות!$A$2:$B$16,2,0)</f>
        <v>רפואת ילדים</v>
      </c>
      <c r="J58" s="348">
        <f>'IF בתוך IF רופאים'!$G58*(1+$A$67)</f>
        <v>22406.720000000001</v>
      </c>
      <c r="K58" s="348">
        <f>'IF בתוך IF רופאים'!$J58-(VLOOKUP('IF בתוך IF רופאים'!$J58,$K$64:$M$67,2)*'IF בתוך IF רופאים'!$J58)</f>
        <v>15684.704000000002</v>
      </c>
      <c r="L58" s="349">
        <f ca="1">VLOOKUP(YEAR(TODAY())-YEAR('IF בתוך IF רופאים'!$D58),'[2]נתונים נוספים'!$A$5:$K$9,VLOOKUP('IF בתוך IF רופאים'!$H58,'[2]נתונים נוספים'!$N$5:$O$14,2,0),1)/$U$10</f>
        <v>631.57894736842104</v>
      </c>
      <c r="M58" s="348">
        <f>'IF בתוך IF רופאים'!$K58/$U$5</f>
        <v>3921.1760000000004</v>
      </c>
      <c r="N58" s="350">
        <f t="shared" si="0"/>
        <v>2</v>
      </c>
      <c r="O58" s="409">
        <f t="shared" si="1"/>
        <v>5</v>
      </c>
      <c r="P58" s="408">
        <f t="shared" si="2"/>
        <v>4</v>
      </c>
    </row>
    <row r="59" spans="1:16" x14ac:dyDescent="0.25">
      <c r="A59" s="351">
        <v>12557</v>
      </c>
      <c r="B59" s="352" t="s">
        <v>519</v>
      </c>
      <c r="C59" s="352" t="s">
        <v>520</v>
      </c>
      <c r="D59" s="353">
        <v>24212</v>
      </c>
      <c r="E59" s="352">
        <v>6</v>
      </c>
      <c r="F59" s="352">
        <v>36754</v>
      </c>
      <c r="G59" s="354">
        <v>10274</v>
      </c>
      <c r="H59" s="354" t="s">
        <v>416</v>
      </c>
      <c r="I59" s="352" t="str">
        <f>VLOOKUP('IF בתוך IF רופאים'!$E59,[2]התמחויות!$A$2:$B$16,2,0)</f>
        <v>רפואה פיסיקלית ושיקום</v>
      </c>
      <c r="J59" s="354">
        <f>'IF בתוך IF רופאים'!$G59*(1+$A$67)</f>
        <v>11506.880000000001</v>
      </c>
      <c r="K59" s="354">
        <f>'IF בתוך IF רופאים'!$J59-(VLOOKUP('IF בתוך IF רופאים'!$J59,$K$64:$M$67,2)*'IF בתוך IF רופאים'!$J59)</f>
        <v>8630.16</v>
      </c>
      <c r="L59" s="355">
        <f ca="1">VLOOKUP(YEAR(TODAY())-YEAR('IF בתוך IF רופאים'!$D59),'[2]נתונים נוספים'!$A$5:$K$9,VLOOKUP('IF בתוך IF רופאים'!$H59,'[2]נתונים נוספים'!$N$5:$O$14,2,0),1)/$U$10</f>
        <v>447.36842105263162</v>
      </c>
      <c r="M59" s="354">
        <f>'IF בתוך IF רופאים'!$K59/$U$5</f>
        <v>2157.54</v>
      </c>
      <c r="N59" s="350">
        <f t="shared" si="0"/>
        <v>6</v>
      </c>
      <c r="O59" s="409">
        <f t="shared" si="1"/>
        <v>6</v>
      </c>
      <c r="P59" s="408">
        <f t="shared" si="2"/>
        <v>4</v>
      </c>
    </row>
    <row r="60" spans="1:16" x14ac:dyDescent="0.25">
      <c r="A60" s="340">
        <v>12558</v>
      </c>
      <c r="B60" s="326" t="s">
        <v>521</v>
      </c>
      <c r="C60" s="326" t="s">
        <v>522</v>
      </c>
      <c r="D60" s="356">
        <v>30224</v>
      </c>
      <c r="E60" s="326">
        <v>3</v>
      </c>
      <c r="F60" s="326">
        <v>258965</v>
      </c>
      <c r="G60" s="357">
        <v>15519</v>
      </c>
      <c r="H60" s="357" t="s">
        <v>67</v>
      </c>
      <c r="I60" s="326" t="str">
        <f>VLOOKUP('IF בתוך IF רופאים'!$E60,[2]התמחויות!$A$2:$B$16,2,0)</f>
        <v>הרדמה</v>
      </c>
      <c r="J60" s="357">
        <f>'IF בתוך IF רופאים'!$G60*(1+$A$67)</f>
        <v>17381.280000000002</v>
      </c>
      <c r="K60" s="357">
        <f>'IF בתוך IF רופאים'!$J60-(VLOOKUP('IF בתוך IF רופאים'!$J60,$K$64:$M$67,2)*'IF בתוך IF רופאים'!$J60)</f>
        <v>12166.896000000001</v>
      </c>
      <c r="L60" s="358">
        <f ca="1">VLOOKUP(YEAR(TODAY())-YEAR('IF בתוך IF רופאים'!$D60),'[2]נתונים נוספים'!$A$5:$K$9,VLOOKUP('IF בתוך IF רופאים'!$H60,'[2]נתונים נוספים'!$N$5:$O$14,2,0),1)/$U$10</f>
        <v>500</v>
      </c>
      <c r="M60" s="357">
        <f>'IF בתוך IF רופאים'!$K60/$U$5</f>
        <v>3041.7240000000002</v>
      </c>
      <c r="N60" s="350">
        <f t="shared" si="0"/>
        <v>2</v>
      </c>
      <c r="O60" s="409">
        <f t="shared" si="1"/>
        <v>5</v>
      </c>
      <c r="P60" s="408">
        <f t="shared" si="2"/>
        <v>4</v>
      </c>
    </row>
    <row r="61" spans="1:16" ht="14.4" x14ac:dyDescent="0.25">
      <c r="E61" s="329"/>
    </row>
    <row r="62" spans="1:16" ht="14.4" x14ac:dyDescent="0.25">
      <c r="E62" s="329"/>
    </row>
    <row r="63" spans="1:16" x14ac:dyDescent="0.25">
      <c r="K63" s="330" t="s">
        <v>38</v>
      </c>
      <c r="L63" s="331" t="s">
        <v>523</v>
      </c>
      <c r="M63" s="332" t="s">
        <v>524</v>
      </c>
    </row>
    <row r="64" spans="1:16" x14ac:dyDescent="0.25">
      <c r="K64" s="333">
        <v>0</v>
      </c>
      <c r="L64" s="334">
        <v>0.15</v>
      </c>
      <c r="M64" s="335">
        <v>0</v>
      </c>
    </row>
    <row r="65" spans="1:13" x14ac:dyDescent="0.25">
      <c r="K65" s="333">
        <v>5000</v>
      </c>
      <c r="L65" s="334">
        <v>0.2</v>
      </c>
      <c r="M65" s="335">
        <f>M64+(K65-K64)*L64</f>
        <v>750</v>
      </c>
    </row>
    <row r="66" spans="1:13" x14ac:dyDescent="0.25">
      <c r="K66" s="333">
        <v>9000</v>
      </c>
      <c r="L66" s="334">
        <v>0.25</v>
      </c>
      <c r="M66" s="335">
        <f t="shared" ref="M66" si="3">M65+(K66-K65)*L65</f>
        <v>1550</v>
      </c>
    </row>
    <row r="67" spans="1:13" x14ac:dyDescent="0.25">
      <c r="A67" s="320">
        <v>0.12</v>
      </c>
      <c r="K67" s="336">
        <v>15000</v>
      </c>
      <c r="L67" s="337">
        <v>0.3</v>
      </c>
      <c r="M67" s="338">
        <f>M66+(K67-K66)*L66</f>
        <v>3050</v>
      </c>
    </row>
    <row r="69" spans="1:13" x14ac:dyDescent="0.25">
      <c r="A69" s="339" t="s">
        <v>525</v>
      </c>
      <c r="B69" s="339"/>
    </row>
    <row r="70" spans="1:13" x14ac:dyDescent="0.25">
      <c r="A70" t="str">
        <f>_xlfn.XLOOKUP(MIN('IF בתוך IF רופאים'!$D$2:$D$60),'IF בתוך IF רופאים'!$D$2:$D$60,'IF בתוך IF רופאים'!$B$2:$B$60,,0)</f>
        <v>אורן</v>
      </c>
      <c r="B70" t="str">
        <f>_xlfn.XLOOKUP(MIN('IF בתוך IF רופאים'!$D$2:$D$60),'IF בתוך IF רופאים'!$D$2:$D$60,'IF בתוך IF רופאים'!$C$2:$C$60,,0)</f>
        <v>בר</v>
      </c>
    </row>
  </sheetData>
  <mergeCells count="1">
    <mergeCell ref="Q21:T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ED973-6B0F-4C02-AAB5-6916D79268CC}">
  <sheetPr>
    <tabColor rgb="FFFFFF00"/>
  </sheetPr>
  <dimension ref="A1:AB45"/>
  <sheetViews>
    <sheetView rightToLeft="1" zoomScale="85" zoomScaleNormal="85" workbookViewId="0">
      <selection activeCell="R38" sqref="R38"/>
    </sheetView>
  </sheetViews>
  <sheetFormatPr defaultColWidth="9" defaultRowHeight="13.8" x14ac:dyDescent="0.25"/>
  <cols>
    <col min="1" max="1" width="9.19921875" style="208" bestFit="1" customWidth="1"/>
    <col min="2" max="2" width="9.59765625" style="208" bestFit="1" customWidth="1"/>
    <col min="3" max="3" width="11" style="208" customWidth="1"/>
    <col min="4" max="4" width="14.796875" style="208" customWidth="1"/>
    <col min="5" max="5" width="10.796875" style="208" bestFit="1" customWidth="1"/>
    <col min="6" max="6" width="9.19921875" style="208" bestFit="1" customWidth="1"/>
    <col min="7" max="7" width="9.19921875" style="208" hidden="1" customWidth="1"/>
    <col min="8" max="8" width="20.8984375" style="208" hidden="1" customWidth="1"/>
    <col min="9" max="10" width="17.5" style="208" hidden="1" customWidth="1"/>
    <col min="11" max="11" width="16.3984375" style="208" hidden="1" customWidth="1"/>
    <col min="12" max="12" width="0" style="208" hidden="1" customWidth="1"/>
    <col min="13" max="13" width="11.09765625" style="208" hidden="1" customWidth="1"/>
    <col min="14" max="14" width="27.796875" style="208" customWidth="1"/>
    <col min="15" max="15" width="20.19921875" style="208" customWidth="1"/>
    <col min="16" max="16" width="9.8984375" style="208" bestFit="1" customWidth="1"/>
    <col min="17" max="19" width="9" style="208"/>
    <col min="20" max="20" width="12" style="208" bestFit="1" customWidth="1"/>
    <col min="21" max="16384" width="9" style="208"/>
  </cols>
  <sheetData>
    <row r="1" spans="1:28" s="198" customFormat="1" ht="55.8" thickBot="1" x14ac:dyDescent="0.3">
      <c r="A1" s="194" t="s">
        <v>0</v>
      </c>
      <c r="B1" s="194" t="s">
        <v>1</v>
      </c>
      <c r="C1" s="194" t="s">
        <v>2</v>
      </c>
      <c r="D1" s="195" t="s">
        <v>3</v>
      </c>
      <c r="E1" s="196" t="s">
        <v>219</v>
      </c>
      <c r="F1" s="194" t="s">
        <v>5</v>
      </c>
      <c r="G1" s="194" t="s">
        <v>220</v>
      </c>
      <c r="H1" s="194" t="s">
        <v>221</v>
      </c>
      <c r="I1" s="197" t="s">
        <v>91</v>
      </c>
      <c r="J1" s="197" t="s">
        <v>222</v>
      </c>
      <c r="K1" s="197" t="s">
        <v>92</v>
      </c>
      <c r="L1" s="197" t="s">
        <v>93</v>
      </c>
      <c r="M1" s="197" t="s">
        <v>84</v>
      </c>
      <c r="N1" s="197" t="s">
        <v>94</v>
      </c>
      <c r="S1" s="199"/>
      <c r="T1" s="199"/>
      <c r="Y1" s="200" t="s">
        <v>94</v>
      </c>
    </row>
    <row r="2" spans="1:28" x14ac:dyDescent="0.25">
      <c r="A2" s="201">
        <v>1855</v>
      </c>
      <c r="B2" s="201" t="s">
        <v>8</v>
      </c>
      <c r="C2" s="201" t="s">
        <v>9</v>
      </c>
      <c r="D2" s="202">
        <v>43723</v>
      </c>
      <c r="E2" s="203">
        <v>2500</v>
      </c>
      <c r="F2" s="201">
        <v>10</v>
      </c>
      <c r="G2" s="204">
        <v>8.9999999999999993E-3</v>
      </c>
      <c r="H2" s="205">
        <v>16761.877886011072</v>
      </c>
      <c r="I2" s="206">
        <f>(H2-E2)*'[3]נתונים נוספים'!$B$3</f>
        <v>44211.821446634327</v>
      </c>
      <c r="J2" s="207">
        <f>H2*(1+$J$29)*(1-G2*$J$30)</f>
        <v>19137.371220016561</v>
      </c>
      <c r="K2" s="206">
        <f>VLOOKUP(F2,'[3]נתונים נוספים'!$A$7:$D$12,VLOOKUP([3]השקעות!C2,'[3]נתונים נוספים'!$F$7:$G$9,2,0),0)*'[3]נתונים נוספים'!$B$3*H2</f>
        <v>7794.2732169951478</v>
      </c>
      <c r="L2" s="208" t="str">
        <f>TEXT(D2,"mmmm")</f>
        <v>ספטמבר</v>
      </c>
      <c r="M2" s="209">
        <f t="shared" ref="M2:M26" si="0">IF(AND(C2=$AA$34,E2&lt;$AA$35),DATE(YEAR(D2)+$AA$36,MONTH(D2)+$AA$37,$AA$38),IF(OR(F2=$AA$43,F2=$AA$44),DATE($AA$39,$AA$40,DAY(D2)),DATE(YEAR(D2),MONTH(D2)+$AA$41,DAY(D2)+$AA$42)))</f>
        <v>44469</v>
      </c>
      <c r="N2" s="150"/>
      <c r="P2" s="210"/>
      <c r="S2" s="211"/>
      <c r="T2" s="212"/>
      <c r="AA2" s="213"/>
      <c r="AB2" s="213"/>
    </row>
    <row r="3" spans="1:28" x14ac:dyDescent="0.25">
      <c r="A3" s="201">
        <v>1856</v>
      </c>
      <c r="B3" s="201" t="s">
        <v>10</v>
      </c>
      <c r="C3" s="201" t="s">
        <v>11</v>
      </c>
      <c r="D3" s="202">
        <v>42075</v>
      </c>
      <c r="E3" s="203">
        <v>146726</v>
      </c>
      <c r="F3" s="201">
        <v>13</v>
      </c>
      <c r="G3" s="204">
        <v>2.8999999999999998E-3</v>
      </c>
      <c r="H3" s="205">
        <v>214094.11260178176</v>
      </c>
      <c r="I3" s="206">
        <f>(H3-E3)*'[3]נתונים נוספים'!$B$3</f>
        <v>208841.14906552347</v>
      </c>
      <c r="J3" s="207">
        <f t="shared" ref="J3:J26" si="1">H3*(1+$J$29)*(1-G3*$J$30)</f>
        <v>245637.02639962744</v>
      </c>
      <c r="K3" s="206">
        <f>VLOOKUP(F3,'[3]נתונים נוספים'!$A$7:$D$12,VLOOKUP([3]השקעות!C3,'[3]נתונים נוספים'!$F$7:$G$9,2,0),0)*'[3]נתונים נוספים'!$B$3*H3</f>
        <v>142693.72604908753</v>
      </c>
      <c r="L3" s="208" t="str">
        <f t="shared" ref="L3:L26" si="2">TEXT(D3,"mmmm")</f>
        <v>מרץ</v>
      </c>
      <c r="M3" s="209">
        <f t="shared" si="0"/>
        <v>42332</v>
      </c>
      <c r="N3" s="150"/>
      <c r="P3" s="210"/>
      <c r="S3" s="211"/>
      <c r="T3" s="212"/>
      <c r="AA3" s="213"/>
      <c r="AB3" s="213"/>
    </row>
    <row r="4" spans="1:28" x14ac:dyDescent="0.25">
      <c r="A4" s="201">
        <v>1857</v>
      </c>
      <c r="B4" s="201" t="s">
        <v>12</v>
      </c>
      <c r="C4" s="201" t="s">
        <v>9</v>
      </c>
      <c r="D4" s="202">
        <v>43007</v>
      </c>
      <c r="E4" s="203">
        <v>253094</v>
      </c>
      <c r="F4" s="201">
        <v>10</v>
      </c>
      <c r="G4" s="204">
        <v>6.0000000000000001E-3</v>
      </c>
      <c r="H4" s="205">
        <v>307637.33883750002</v>
      </c>
      <c r="I4" s="206">
        <f>(H4-E4)*'[3]נתונים נוספים'!$B$3</f>
        <v>169084.35039625008</v>
      </c>
      <c r="J4" s="207">
        <f t="shared" si="1"/>
        <v>352084.78155274194</v>
      </c>
      <c r="K4" s="206">
        <f>VLOOKUP(F4,'[3]נתונים נוספים'!$A$7:$D$12,VLOOKUP([3]השקעות!C4,'[3]נתונים נוספים'!$F$7:$G$9,2,0),0)*'[3]נתונים נוספים'!$B$3*H4</f>
        <v>143051.36255943749</v>
      </c>
      <c r="L4" s="208" t="str">
        <f t="shared" si="2"/>
        <v>ספטמבר</v>
      </c>
      <c r="M4" s="209">
        <f t="shared" si="0"/>
        <v>43261</v>
      </c>
      <c r="N4" s="150"/>
      <c r="P4" s="210"/>
      <c r="S4" s="211"/>
      <c r="T4" s="212"/>
      <c r="AA4" s="213"/>
      <c r="AB4" s="213"/>
    </row>
    <row r="5" spans="1:28" x14ac:dyDescent="0.25">
      <c r="A5" s="201">
        <v>1858</v>
      </c>
      <c r="B5" s="201" t="s">
        <v>13</v>
      </c>
      <c r="C5" s="201" t="s">
        <v>9</v>
      </c>
      <c r="D5" s="202">
        <v>42367</v>
      </c>
      <c r="E5" s="203">
        <v>70131</v>
      </c>
      <c r="F5" s="201">
        <v>14</v>
      </c>
      <c r="G5" s="204">
        <v>1E-3</v>
      </c>
      <c r="H5" s="205">
        <v>332458.09982047207</v>
      </c>
      <c r="I5" s="206">
        <f>(H5-E5)*'[3]נתונים נוספים'!$B$3</f>
        <v>813214.00944346341</v>
      </c>
      <c r="J5" s="207">
        <f t="shared" si="1"/>
        <v>382020.95334170799</v>
      </c>
      <c r="K5" s="206">
        <f>VLOOKUP(F5,'[3]נתונים נוספים'!$A$7:$D$12,VLOOKUP([3]השקעות!C5,'[3]נתונים נוספים'!$F$7:$G$9,2,0),0)*'[3]נתונים נוספים'!$B$3*H5</f>
        <v>164899.21751095416</v>
      </c>
      <c r="L5" s="208" t="str">
        <f t="shared" si="2"/>
        <v>דצמבר</v>
      </c>
      <c r="M5" s="209">
        <f t="shared" si="0"/>
        <v>44649</v>
      </c>
      <c r="N5" s="150"/>
      <c r="P5" s="210"/>
      <c r="S5" s="211"/>
      <c r="T5" s="212"/>
    </row>
    <row r="6" spans="1:28" x14ac:dyDescent="0.25">
      <c r="A6" s="201">
        <v>1859</v>
      </c>
      <c r="B6" s="201" t="s">
        <v>14</v>
      </c>
      <c r="C6" s="201" t="s">
        <v>9</v>
      </c>
      <c r="D6" s="202">
        <v>43866</v>
      </c>
      <c r="E6" s="203">
        <v>63372</v>
      </c>
      <c r="F6" s="201">
        <v>15</v>
      </c>
      <c r="G6" s="204">
        <v>1E-3</v>
      </c>
      <c r="H6" s="205">
        <v>1229261.9753939065</v>
      </c>
      <c r="I6" s="206">
        <f>(H6-E6)*'[3]נתונים נוספים'!$B$3</f>
        <v>3614258.92372111</v>
      </c>
      <c r="J6" s="207">
        <f t="shared" si="1"/>
        <v>1412520.3506856298</v>
      </c>
      <c r="K6" s="206">
        <f>VLOOKUP(F6,'[3]נתונים נוספים'!$A$7:$D$12,VLOOKUP([3]השקעות!C6,'[3]נתונים נוספים'!$F$7:$G$9,2,0),0)*'[3]נתונים נוספים'!$B$3*H6</f>
        <v>819303.10660003859</v>
      </c>
      <c r="L6" s="208" t="str">
        <f t="shared" si="2"/>
        <v>פברואר</v>
      </c>
      <c r="M6" s="209">
        <f t="shared" si="0"/>
        <v>44625</v>
      </c>
      <c r="N6" s="150"/>
      <c r="P6" s="210"/>
      <c r="S6" s="211"/>
      <c r="T6" s="212"/>
    </row>
    <row r="7" spans="1:28" x14ac:dyDescent="0.25">
      <c r="A7" s="201">
        <v>1860</v>
      </c>
      <c r="B7" s="201" t="s">
        <v>223</v>
      </c>
      <c r="C7" s="201" t="s">
        <v>11</v>
      </c>
      <c r="D7" s="202">
        <v>43604</v>
      </c>
      <c r="E7" s="203">
        <v>72483</v>
      </c>
      <c r="F7" s="201">
        <v>15</v>
      </c>
      <c r="G7" s="204">
        <v>1E-3</v>
      </c>
      <c r="H7" s="205">
        <v>1877660.4186721272</v>
      </c>
      <c r="I7" s="206">
        <f>(H7-E7)*'[3]נתונים נוספים'!$B$3</f>
        <v>5596049.9978835946</v>
      </c>
      <c r="J7" s="207">
        <f t="shared" si="1"/>
        <v>2157582.0338877677</v>
      </c>
      <c r="K7" s="206">
        <f>VLOOKUP(F7,'[3]נתונים נוספים'!$A$7:$D$12,VLOOKUP([3]השקעות!C7,'[3]נתונים נוספים'!$F$7:$G$9,2,0),0)*'[3]נתונים נוספים'!$B$3*H7</f>
        <v>582074.72978835949</v>
      </c>
      <c r="L7" s="208" t="str">
        <f t="shared" si="2"/>
        <v>מאי</v>
      </c>
      <c r="M7" s="209">
        <f t="shared" si="0"/>
        <v>44639</v>
      </c>
      <c r="N7" s="150"/>
      <c r="P7" s="210"/>
      <c r="S7" s="211"/>
      <c r="T7" s="212"/>
    </row>
    <row r="8" spans="1:28" x14ac:dyDescent="0.25">
      <c r="A8" s="201">
        <v>1861</v>
      </c>
      <c r="B8" s="201" t="s">
        <v>15</v>
      </c>
      <c r="C8" s="201" t="s">
        <v>11</v>
      </c>
      <c r="D8" s="202">
        <v>42562</v>
      </c>
      <c r="E8" s="203">
        <v>108877</v>
      </c>
      <c r="F8" s="201">
        <v>13</v>
      </c>
      <c r="G8" s="204">
        <v>2.8999999999999998E-3</v>
      </c>
      <c r="H8" s="205">
        <v>986671.12314671697</v>
      </c>
      <c r="I8" s="206">
        <f>(H8-E8)*'[3]נתונים נוספים'!$B$3</f>
        <v>2721161.7817548225</v>
      </c>
      <c r="J8" s="207">
        <f t="shared" si="1"/>
        <v>1132039.3530621689</v>
      </c>
      <c r="K8" s="206">
        <f>VLOOKUP(F8,'[3]נתונים נוספים'!$A$7:$D$12,VLOOKUP([3]השקעות!C8,'[3]נתונים נוספים'!$F$7:$G$9,2,0),0)*'[3]נתונים נוספים'!$B$3*H8</f>
        <v>657616.30357728689</v>
      </c>
      <c r="L8" s="208" t="str">
        <f t="shared" si="2"/>
        <v>יולי</v>
      </c>
      <c r="M8" s="209">
        <f t="shared" si="0"/>
        <v>42817</v>
      </c>
      <c r="N8" s="150"/>
      <c r="P8" s="210"/>
      <c r="S8" s="211"/>
      <c r="T8" s="212"/>
      <c r="AA8" s="215"/>
      <c r="AB8" s="215"/>
    </row>
    <row r="9" spans="1:28" x14ac:dyDescent="0.25">
      <c r="A9" s="201">
        <v>1862</v>
      </c>
      <c r="B9" s="201" t="s">
        <v>16</v>
      </c>
      <c r="C9" s="201" t="s">
        <v>11</v>
      </c>
      <c r="D9" s="202">
        <v>44321</v>
      </c>
      <c r="E9" s="203">
        <v>96681</v>
      </c>
      <c r="F9" s="201">
        <v>10</v>
      </c>
      <c r="G9" s="204">
        <v>7.0000000000000001E-3</v>
      </c>
      <c r="H9" s="205">
        <v>191421.76696540037</v>
      </c>
      <c r="I9" s="206">
        <f>(H9-E9)*'[3]נתונים נוספים'!$B$3</f>
        <v>293696.37759274116</v>
      </c>
      <c r="J9" s="207">
        <f t="shared" si="1"/>
        <v>218902.27583095324</v>
      </c>
      <c r="K9" s="206">
        <f>VLOOKUP(F9,'[3]נתונים נוספים'!$A$7:$D$12,VLOOKUP([3]השקעות!C9,'[3]נתונים נוספים'!$F$7:$G$9,2,0),0)*'[3]נתונים נוספים'!$B$3*H9</f>
        <v>89011.121638911165</v>
      </c>
      <c r="L9" s="208" t="str">
        <f t="shared" si="2"/>
        <v>מאי</v>
      </c>
      <c r="M9" s="209">
        <f t="shared" si="0"/>
        <v>44578</v>
      </c>
      <c r="N9" s="150"/>
      <c r="P9" s="210"/>
      <c r="S9" s="211"/>
      <c r="T9" s="212"/>
      <c r="AA9" s="215"/>
      <c r="AB9" s="215"/>
    </row>
    <row r="10" spans="1:28" x14ac:dyDescent="0.25">
      <c r="A10" s="201">
        <v>1863</v>
      </c>
      <c r="B10" s="201" t="s">
        <v>17</v>
      </c>
      <c r="C10" s="201" t="s">
        <v>11</v>
      </c>
      <c r="D10" s="202">
        <v>43400</v>
      </c>
      <c r="E10" s="203">
        <v>66590</v>
      </c>
      <c r="F10" s="201">
        <v>15</v>
      </c>
      <c r="G10" s="204">
        <v>1E-3</v>
      </c>
      <c r="H10" s="205">
        <v>377756.68354481296</v>
      </c>
      <c r="I10" s="206">
        <f>(H10-E10)*'[3]נתונים נוספים'!$B$3</f>
        <v>964616.71898892021</v>
      </c>
      <c r="J10" s="207">
        <f t="shared" si="1"/>
        <v>434072.64992767363</v>
      </c>
      <c r="K10" s="206">
        <f>VLOOKUP(F10,'[3]נתונים נוספים'!$A$7:$D$12,VLOOKUP([3]השקעות!C10,'[3]נתונים נוספים'!$F$7:$G$9,2,0),0)*'[3]נתונים נוספים'!$B$3*H10</f>
        <v>117104.57189889204</v>
      </c>
      <c r="L10" s="208" t="str">
        <f t="shared" si="2"/>
        <v>אוקטובר</v>
      </c>
      <c r="M10" s="209">
        <f t="shared" si="0"/>
        <v>44647</v>
      </c>
      <c r="N10" s="150"/>
      <c r="P10" s="210"/>
      <c r="S10" s="211"/>
      <c r="T10" s="212"/>
      <c r="AA10" s="215"/>
      <c r="AB10" s="215"/>
    </row>
    <row r="11" spans="1:28" x14ac:dyDescent="0.25">
      <c r="A11" s="201">
        <v>1864</v>
      </c>
      <c r="B11" s="201" t="s">
        <v>18</v>
      </c>
      <c r="C11" s="201" t="s">
        <v>19</v>
      </c>
      <c r="D11" s="202">
        <v>43977</v>
      </c>
      <c r="E11" s="203">
        <v>224708</v>
      </c>
      <c r="F11" s="201">
        <v>10</v>
      </c>
      <c r="G11" s="204">
        <v>6.0000000000000001E-3</v>
      </c>
      <c r="H11" s="205">
        <v>3453180.5195543682</v>
      </c>
      <c r="I11" s="206">
        <f>(H11-E11)*'[3]נתונים נוספים'!$B$3</f>
        <v>10008264.810618542</v>
      </c>
      <c r="J11" s="207">
        <f t="shared" si="1"/>
        <v>3952096.0410195831</v>
      </c>
      <c r="K11" s="206">
        <f>VLOOKUP(F11,'[3]נתונים נוספים'!$A$7:$D$12,VLOOKUP([3]השקעות!C11,'[3]נתונים נוספים'!$F$7:$G$9,2,0),0)*'[3]נתונים נוספים'!$B$3*H11</f>
        <v>1070485.9610618544</v>
      </c>
      <c r="L11" s="208" t="str">
        <f t="shared" si="2"/>
        <v>מאי</v>
      </c>
      <c r="M11" s="209">
        <f t="shared" si="0"/>
        <v>44234</v>
      </c>
      <c r="N11" s="150"/>
      <c r="P11" s="210"/>
      <c r="S11" s="211"/>
      <c r="T11" s="212"/>
    </row>
    <row r="12" spans="1:28" x14ac:dyDescent="0.25">
      <c r="A12" s="201">
        <v>1865</v>
      </c>
      <c r="B12" s="201" t="s">
        <v>20</v>
      </c>
      <c r="C12" s="201" t="s">
        <v>9</v>
      </c>
      <c r="D12" s="202">
        <v>44029</v>
      </c>
      <c r="E12" s="203">
        <v>49492</v>
      </c>
      <c r="F12" s="201">
        <v>14</v>
      </c>
      <c r="G12" s="204">
        <v>1.1000000000000001E-3</v>
      </c>
      <c r="H12" s="205">
        <v>2044762.0534205888</v>
      </c>
      <c r="I12" s="206">
        <f>(H12-E12)*'[3]נתונים נוספים'!$B$3</f>
        <v>6185337.1656038258</v>
      </c>
      <c r="J12" s="207">
        <f t="shared" si="1"/>
        <v>2349407.0622356152</v>
      </c>
      <c r="K12" s="206">
        <f>VLOOKUP(F12,'[3]נתונים נוספים'!$A$7:$D$12,VLOOKUP([3]השקעות!C12,'[3]נתונים נוספים'!$F$7:$G$9,2,0),0)*'[3]נתונים נוספים'!$B$3*H12</f>
        <v>1014201.9784966122</v>
      </c>
      <c r="L12" s="208" t="str">
        <f t="shared" si="2"/>
        <v>יולי</v>
      </c>
      <c r="M12" s="209">
        <f t="shared" si="0"/>
        <v>44773</v>
      </c>
      <c r="N12" s="150"/>
      <c r="P12" s="210"/>
      <c r="S12" s="211"/>
      <c r="T12" s="212"/>
    </row>
    <row r="13" spans="1:28" x14ac:dyDescent="0.25">
      <c r="A13" s="201">
        <v>1866</v>
      </c>
      <c r="B13" s="201" t="s">
        <v>21</v>
      </c>
      <c r="C13" s="201" t="s">
        <v>9</v>
      </c>
      <c r="D13" s="202">
        <v>40661</v>
      </c>
      <c r="E13" s="203">
        <v>76982</v>
      </c>
      <c r="F13" s="201">
        <v>13</v>
      </c>
      <c r="G13" s="204">
        <v>3.8999999999999998E-3</v>
      </c>
      <c r="H13" s="205">
        <v>2617985.4305046364</v>
      </c>
      <c r="I13" s="206">
        <f>(H13-E13)*'[3]נתונים נוספים'!$B$3</f>
        <v>7877110.6345643727</v>
      </c>
      <c r="J13" s="207">
        <f t="shared" si="1"/>
        <v>3001289.9133556811</v>
      </c>
      <c r="K13" s="206">
        <f>VLOOKUP(F13,'[3]נתונים נוספים'!$A$7:$D$12,VLOOKUP([3]השקעות!C13,'[3]נתונים נוספים'!$F$7:$G$9,2,0),0)*'[3]נתונים נוספים'!$B$3*H13</f>
        <v>1866623.6119498059</v>
      </c>
      <c r="L13" s="208" t="str">
        <f t="shared" si="2"/>
        <v>אפריל</v>
      </c>
      <c r="M13" s="209">
        <f t="shared" si="0"/>
        <v>40917</v>
      </c>
      <c r="N13" s="150"/>
      <c r="P13" s="210"/>
      <c r="S13" s="211"/>
      <c r="T13" s="212"/>
      <c r="AA13" s="316"/>
    </row>
    <row r="14" spans="1:28" x14ac:dyDescent="0.25">
      <c r="A14" s="201">
        <v>1867</v>
      </c>
      <c r="B14" s="201" t="s">
        <v>22</v>
      </c>
      <c r="C14" s="201" t="s">
        <v>19</v>
      </c>
      <c r="D14" s="202">
        <v>40434</v>
      </c>
      <c r="E14" s="203">
        <v>184883</v>
      </c>
      <c r="F14" s="201">
        <v>10</v>
      </c>
      <c r="G14" s="204">
        <v>6.0000000000000001E-3</v>
      </c>
      <c r="H14" s="205">
        <v>2226133.6383189736</v>
      </c>
      <c r="I14" s="206">
        <f>(H14-E14)*'[3]נתונים נוספים'!$B$3</f>
        <v>6327876.9787888182</v>
      </c>
      <c r="J14" s="207">
        <f t="shared" si="1"/>
        <v>2547765.4263832988</v>
      </c>
      <c r="K14" s="206">
        <f>VLOOKUP(F14,'[3]נתונים נוספים'!$A$7:$D$12,VLOOKUP([3]השקעות!C14,'[3]נתונים נוספים'!$F$7:$G$9,2,0),0)*'[3]נתונים נוספים'!$B$3*H14</f>
        <v>690101.42787888192</v>
      </c>
      <c r="L14" s="208" t="str">
        <f t="shared" si="2"/>
        <v>ספטמבר</v>
      </c>
      <c r="M14" s="209">
        <f t="shared" si="0"/>
        <v>40688</v>
      </c>
      <c r="N14" s="150"/>
      <c r="P14" s="210"/>
      <c r="AA14" s="316"/>
    </row>
    <row r="15" spans="1:28" x14ac:dyDescent="0.25">
      <c r="A15" s="201">
        <v>1868</v>
      </c>
      <c r="B15" s="201" t="s">
        <v>23</v>
      </c>
      <c r="C15" s="201" t="s">
        <v>19</v>
      </c>
      <c r="D15" s="202">
        <v>41924</v>
      </c>
      <c r="E15" s="203">
        <v>8780</v>
      </c>
      <c r="F15" s="201">
        <v>10</v>
      </c>
      <c r="G15" s="204">
        <v>8.9999999999999993E-3</v>
      </c>
      <c r="H15" s="205">
        <v>122381.75185310727</v>
      </c>
      <c r="I15" s="206">
        <f>(H15-E15)*'[3]נתונים נוספים'!$B$3</f>
        <v>352165.43074463255</v>
      </c>
      <c r="J15" s="207">
        <f t="shared" si="1"/>
        <v>139725.69372572962</v>
      </c>
      <c r="K15" s="206">
        <f>VLOOKUP(F15,'[3]נתונים נוספים'!$A$7:$D$12,VLOOKUP([3]השקעות!C15,'[3]נתונים נוספים'!$F$7:$G$9,2,0),0)*'[3]נתונים נוספים'!$B$3*H15</f>
        <v>37938.343074463257</v>
      </c>
      <c r="L15" s="208" t="str">
        <f t="shared" si="2"/>
        <v>אוקטובר</v>
      </c>
      <c r="M15" s="209">
        <f t="shared" si="0"/>
        <v>42179</v>
      </c>
      <c r="N15" s="150"/>
      <c r="P15" s="210"/>
    </row>
    <row r="16" spans="1:28" x14ac:dyDescent="0.25">
      <c r="A16" s="201">
        <v>1869</v>
      </c>
      <c r="B16" s="201" t="s">
        <v>24</v>
      </c>
      <c r="C16" s="201" t="s">
        <v>9</v>
      </c>
      <c r="D16" s="202">
        <v>41231</v>
      </c>
      <c r="E16" s="203">
        <v>46900</v>
      </c>
      <c r="F16" s="201">
        <v>14</v>
      </c>
      <c r="G16" s="204">
        <v>1.1000000000000001E-3</v>
      </c>
      <c r="H16" s="205">
        <v>80582.931834117058</v>
      </c>
      <c r="I16" s="206">
        <f>(H16-E16)*'[3]נתונים נוספים'!$B$3</f>
        <v>104417.08868576288</v>
      </c>
      <c r="J16" s="207">
        <f t="shared" si="1"/>
        <v>92588.821682218491</v>
      </c>
      <c r="K16" s="206">
        <f>VLOOKUP(F16,'[3]נתונים נוספים'!$A$7:$D$12,VLOOKUP([3]השקעות!C16,'[3]נתונים נוספים'!$F$7:$G$9,2,0),0)*'[3]נתונים נוספים'!$B$3*H16</f>
        <v>39969.134189722063</v>
      </c>
      <c r="L16" s="208" t="str">
        <f t="shared" si="2"/>
        <v>נובמבר</v>
      </c>
      <c r="M16" s="209">
        <f t="shared" si="0"/>
        <v>41973</v>
      </c>
      <c r="N16" s="150"/>
      <c r="P16" s="210"/>
    </row>
    <row r="17" spans="1:16" x14ac:dyDescent="0.25">
      <c r="A17" s="201">
        <v>1870</v>
      </c>
      <c r="B17" s="201" t="s">
        <v>25</v>
      </c>
      <c r="C17" s="201" t="s">
        <v>9</v>
      </c>
      <c r="D17" s="202">
        <v>41419</v>
      </c>
      <c r="E17" s="203">
        <v>162174</v>
      </c>
      <c r="F17" s="201">
        <v>14</v>
      </c>
      <c r="G17" s="204">
        <v>8.0000000000000004E-4</v>
      </c>
      <c r="H17" s="205">
        <v>1078268.712803452</v>
      </c>
      <c r="I17" s="206">
        <f>(H17-E17)*'[3]נתונים נוספים'!$B$3</f>
        <v>2839893.6096907016</v>
      </c>
      <c r="J17" s="207">
        <f t="shared" si="1"/>
        <v>1239215.4139513464</v>
      </c>
      <c r="K17" s="206">
        <f>VLOOKUP(F17,'[3]נתונים נוספים'!$A$7:$D$12,VLOOKUP([3]השקעות!C17,'[3]נתונים נוספים'!$F$7:$G$9,2,0),0)*'[3]נתונים נוספים'!$B$3*H17</f>
        <v>534821.2815505123</v>
      </c>
      <c r="L17" s="208" t="str">
        <f t="shared" si="2"/>
        <v>מאי</v>
      </c>
      <c r="M17" s="209">
        <f t="shared" si="0"/>
        <v>44645</v>
      </c>
      <c r="N17" s="150"/>
      <c r="P17" s="210"/>
    </row>
    <row r="18" spans="1:16" x14ac:dyDescent="0.25">
      <c r="A18" s="201">
        <v>1871</v>
      </c>
      <c r="B18" s="201" t="s">
        <v>224</v>
      </c>
      <c r="C18" s="201" t="s">
        <v>9</v>
      </c>
      <c r="D18" s="202">
        <v>41617</v>
      </c>
      <c r="E18" s="203">
        <v>10321</v>
      </c>
      <c r="F18" s="201">
        <v>14</v>
      </c>
      <c r="G18" s="204">
        <v>1.1000000000000001E-3</v>
      </c>
      <c r="H18" s="205">
        <v>372444.86881914415</v>
      </c>
      <c r="I18" s="206">
        <f>(H18-E18)*'[3]נתונים נוספים'!$B$3</f>
        <v>1122583.993339347</v>
      </c>
      <c r="J18" s="207">
        <f t="shared" si="1"/>
        <v>427934.68493477075</v>
      </c>
      <c r="K18" s="206">
        <f>VLOOKUP(F18,'[3]נתונים נוספים'!$A$7:$D$12,VLOOKUP([3]השקעות!C18,'[3]נתונים נוספים'!$F$7:$G$9,2,0),0)*'[3]נתונים נוספים'!$B$3*H18</f>
        <v>184732.65493429551</v>
      </c>
      <c r="L18" s="208" t="str">
        <f t="shared" si="2"/>
        <v>דצמבר</v>
      </c>
      <c r="M18" s="209">
        <f t="shared" si="0"/>
        <v>42369</v>
      </c>
      <c r="N18" s="150"/>
      <c r="P18" s="210"/>
    </row>
    <row r="19" spans="1:16" x14ac:dyDescent="0.25">
      <c r="A19" s="201">
        <v>1872</v>
      </c>
      <c r="B19" s="201" t="s">
        <v>26</v>
      </c>
      <c r="C19" s="201" t="s">
        <v>9</v>
      </c>
      <c r="D19" s="202">
        <v>43638</v>
      </c>
      <c r="E19" s="203">
        <v>56091</v>
      </c>
      <c r="F19" s="201">
        <v>15</v>
      </c>
      <c r="G19" s="204">
        <v>1E-3</v>
      </c>
      <c r="H19" s="205">
        <v>1453028.3037917621</v>
      </c>
      <c r="I19" s="206">
        <f>(H19-E19)*'[3]נתונים נוספים'!$B$3</f>
        <v>4330505.6417544624</v>
      </c>
      <c r="J19" s="207">
        <f t="shared" si="1"/>
        <v>1669645.7633210379</v>
      </c>
      <c r="K19" s="206">
        <f>VLOOKUP(F19,'[3]נתונים נוספים'!$A$7:$D$12,VLOOKUP([3]השקעות!C19,'[3]נתונים נוספים'!$F$7:$G$9,2,0),0)*'[3]נתונים נוספים'!$B$3*H19</f>
        <v>968443.3644772094</v>
      </c>
      <c r="L19" s="208" t="str">
        <f t="shared" si="2"/>
        <v>יוני</v>
      </c>
      <c r="M19" s="209">
        <f t="shared" si="0"/>
        <v>44642</v>
      </c>
      <c r="N19" s="150"/>
      <c r="P19" s="210"/>
    </row>
    <row r="20" spans="1:16" x14ac:dyDescent="0.25">
      <c r="A20" s="201">
        <v>1873</v>
      </c>
      <c r="B20" s="201" t="s">
        <v>27</v>
      </c>
      <c r="C20" s="201" t="s">
        <v>11</v>
      </c>
      <c r="D20" s="202">
        <v>43291</v>
      </c>
      <c r="E20" s="203">
        <v>12866</v>
      </c>
      <c r="F20" s="201">
        <v>10</v>
      </c>
      <c r="G20" s="204">
        <v>8.0000000000000002E-3</v>
      </c>
      <c r="H20" s="205">
        <v>133822.73527755728</v>
      </c>
      <c r="I20" s="206">
        <f>(H20-E20)*'[3]נתונים נוספים'!$B$3</f>
        <v>374965.87936042756</v>
      </c>
      <c r="J20" s="207">
        <f t="shared" si="1"/>
        <v>152911.21023754805</v>
      </c>
      <c r="K20" s="206">
        <f>VLOOKUP(F20,'[3]נתונים נוספים'!$A$7:$D$12,VLOOKUP([3]השקעות!C20,'[3]נתונים נוספים'!$F$7:$G$9,2,0),0)*'[3]נתונים נוספים'!$B$3*H20</f>
        <v>62227.571904064134</v>
      </c>
      <c r="L20" s="208" t="str">
        <f t="shared" si="2"/>
        <v>יולי</v>
      </c>
      <c r="M20" s="209">
        <f t="shared" si="0"/>
        <v>43546</v>
      </c>
      <c r="N20" s="150"/>
      <c r="P20" s="210"/>
    </row>
    <row r="21" spans="1:16" x14ac:dyDescent="0.25">
      <c r="A21" s="201">
        <v>1874</v>
      </c>
      <c r="B21" s="201" t="s">
        <v>28</v>
      </c>
      <c r="C21" s="201" t="s">
        <v>11</v>
      </c>
      <c r="D21" s="202">
        <v>43282</v>
      </c>
      <c r="E21" s="203">
        <v>71270</v>
      </c>
      <c r="F21" s="201">
        <v>13</v>
      </c>
      <c r="G21" s="204">
        <v>3.8999999999999998E-3</v>
      </c>
      <c r="H21" s="205">
        <v>142479.52031448073</v>
      </c>
      <c r="I21" s="206">
        <f>(H21-E21)*'[3]נתונים נוספים'!$B$3</f>
        <v>220749.51297489027</v>
      </c>
      <c r="J21" s="207">
        <f t="shared" si="1"/>
        <v>163340.23184276445</v>
      </c>
      <c r="K21" s="206">
        <f>VLOOKUP(F21,'[3]נתונים נוספים'!$A$7:$D$12,VLOOKUP([3]השקעות!C21,'[3]נתונים נוספים'!$F$7:$G$9,2,0),0)*'[3]נתונים נוספים'!$B$3*H21</f>
        <v>94962.600289601411</v>
      </c>
      <c r="L21" s="208" t="str">
        <f t="shared" si="2"/>
        <v>יולי</v>
      </c>
      <c r="M21" s="209">
        <f t="shared" si="0"/>
        <v>43537</v>
      </c>
      <c r="N21" s="150"/>
      <c r="P21" s="210"/>
    </row>
    <row r="22" spans="1:16" x14ac:dyDescent="0.25">
      <c r="A22" s="201">
        <v>1875</v>
      </c>
      <c r="B22" s="201" t="s">
        <v>29</v>
      </c>
      <c r="C22" s="201" t="s">
        <v>11</v>
      </c>
      <c r="D22" s="202">
        <v>43497</v>
      </c>
      <c r="E22" s="203">
        <v>10129</v>
      </c>
      <c r="F22" s="201">
        <v>14</v>
      </c>
      <c r="G22" s="204">
        <v>1.1000000000000001E-3</v>
      </c>
      <c r="H22" s="205">
        <v>22812.44860458418</v>
      </c>
      <c r="I22" s="206">
        <f>(H22-E22)*'[3]נתונים נוספים'!$B$3</f>
        <v>39318.690674210964</v>
      </c>
      <c r="J22" s="207">
        <f t="shared" si="1"/>
        <v>26211.229697283965</v>
      </c>
      <c r="K22" s="206">
        <f>VLOOKUP(F22,'[3]נתונים נוספים'!$A$7:$D$12,VLOOKUP([3]השקעות!C22,'[3]נתונים נוספים'!$F$7:$G$9,2,0),0)*'[3]נתונים נוספים'!$B$3*H22</f>
        <v>10607.788601131644</v>
      </c>
      <c r="L22" s="208" t="str">
        <f t="shared" si="2"/>
        <v>פברואר</v>
      </c>
      <c r="M22" s="209">
        <f t="shared" si="0"/>
        <v>44621</v>
      </c>
      <c r="N22" s="150"/>
      <c r="P22" s="210"/>
    </row>
    <row r="23" spans="1:16" x14ac:dyDescent="0.25">
      <c r="A23" s="201">
        <v>1876</v>
      </c>
      <c r="B23" s="201" t="s">
        <v>30</v>
      </c>
      <c r="C23" s="201" t="s">
        <v>19</v>
      </c>
      <c r="D23" s="202">
        <v>42752</v>
      </c>
      <c r="E23" s="203">
        <v>143689</v>
      </c>
      <c r="F23" s="201">
        <v>13</v>
      </c>
      <c r="G23" s="204">
        <v>2.8999999999999998E-3</v>
      </c>
      <c r="H23" s="205">
        <v>1900016.8003544933</v>
      </c>
      <c r="I23" s="206">
        <f>(H23-E23)*'[3]נתונים נוספים'!$B$3</f>
        <v>5444616.1810989296</v>
      </c>
      <c r="J23" s="207">
        <f t="shared" si="1"/>
        <v>2179950.0755843213</v>
      </c>
      <c r="K23" s="206">
        <f>VLOOKUP(F23,'[3]נתונים נוספים'!$A$7:$D$12,VLOOKUP([3]השקעות!C23,'[3]נתונים נוספים'!$F$7:$G$9,2,0),0)*'[3]נתונים נוספים'!$B$3*H23</f>
        <v>1266361.1974362698</v>
      </c>
      <c r="L23" s="208" t="str">
        <f t="shared" si="2"/>
        <v>ינואר</v>
      </c>
      <c r="M23" s="209">
        <f t="shared" si="0"/>
        <v>43007</v>
      </c>
      <c r="N23" s="150"/>
      <c r="P23" s="210"/>
    </row>
    <row r="24" spans="1:16" x14ac:dyDescent="0.25">
      <c r="A24" s="201">
        <v>1877</v>
      </c>
      <c r="B24" s="201" t="s">
        <v>31</v>
      </c>
      <c r="C24" s="201" t="s">
        <v>19</v>
      </c>
      <c r="D24" s="202">
        <v>43140</v>
      </c>
      <c r="E24" s="203">
        <v>25719</v>
      </c>
      <c r="F24" s="201">
        <v>12</v>
      </c>
      <c r="G24" s="204">
        <v>5.7999999999999996E-3</v>
      </c>
      <c r="H24" s="205">
        <v>186489.11906743521</v>
      </c>
      <c r="I24" s="206">
        <f>(H24-E24)*'[3]נתונים נוספים'!$B$3</f>
        <v>498387.36910904915</v>
      </c>
      <c r="J24" s="207">
        <f t="shared" si="1"/>
        <v>213467.38098820666</v>
      </c>
      <c r="K24" s="206">
        <f>VLOOKUP(F24,'[3]נתונים נוספים'!$A$7:$D$12,VLOOKUP([3]השקעות!C24,'[3]נתונים נוספים'!$F$7:$G$9,2,0),0)*'[3]נתונים נוספים'!$B$3*H24</f>
        <v>132966.74189508133</v>
      </c>
      <c r="L24" s="208" t="str">
        <f t="shared" si="2"/>
        <v>פברואר</v>
      </c>
      <c r="M24" s="209">
        <f t="shared" si="0"/>
        <v>43394</v>
      </c>
      <c r="N24" s="150"/>
    </row>
    <row r="25" spans="1:16" x14ac:dyDescent="0.25">
      <c r="A25" s="201">
        <v>1878</v>
      </c>
      <c r="B25" s="201" t="s">
        <v>32</v>
      </c>
      <c r="C25" s="201" t="s">
        <v>9</v>
      </c>
      <c r="D25" s="202">
        <v>42629</v>
      </c>
      <c r="E25" s="203">
        <v>215746</v>
      </c>
      <c r="F25" s="201">
        <v>14</v>
      </c>
      <c r="G25" s="204">
        <v>8.0000000000000004E-4</v>
      </c>
      <c r="H25" s="205">
        <v>1094342.8807251898</v>
      </c>
      <c r="I25" s="206">
        <f>(H25-E25)*'[3]נתונים נוספים'!$B$3</f>
        <v>2723650.3302480886</v>
      </c>
      <c r="J25" s="207">
        <f t="shared" si="1"/>
        <v>1257688.8764737544</v>
      </c>
      <c r="K25" s="206">
        <f>VLOOKUP(F25,'[3]נתונים נוספים'!$A$7:$D$12,VLOOKUP([3]השקעות!C25,'[3]נתונים נוספים'!$F$7:$G$9,2,0),0)*'[3]נתונים נוספים'!$B$3*H25</f>
        <v>542794.06883969426</v>
      </c>
      <c r="L25" s="208" t="str">
        <f t="shared" si="2"/>
        <v>ספטמבר</v>
      </c>
      <c r="M25" s="209">
        <f t="shared" si="0"/>
        <v>44636</v>
      </c>
      <c r="N25" s="150"/>
    </row>
    <row r="26" spans="1:16" x14ac:dyDescent="0.25">
      <c r="A26" s="201">
        <v>1879</v>
      </c>
      <c r="B26" s="201" t="s">
        <v>33</v>
      </c>
      <c r="C26" s="201" t="s">
        <v>19</v>
      </c>
      <c r="D26" s="202">
        <v>40875</v>
      </c>
      <c r="E26" s="203">
        <v>131191</v>
      </c>
      <c r="F26" s="201">
        <v>10</v>
      </c>
      <c r="G26" s="204">
        <v>6.0000000000000001E-3</v>
      </c>
      <c r="H26" s="205">
        <v>203520.29998243746</v>
      </c>
      <c r="I26" s="206">
        <f>(H26-E26)*'[3]נתונים נוספים'!$B$3</f>
        <v>224220.82994555612</v>
      </c>
      <c r="J26" s="207">
        <f t="shared" si="1"/>
        <v>232924.91292389997</v>
      </c>
      <c r="K26" s="206">
        <f>VLOOKUP(F26,'[3]נתונים נוספים'!$A$7:$D$12,VLOOKUP([3]השקעות!C26,'[3]נתונים נוספים'!$F$7:$G$9,2,0),0)*'[3]נתונים נוספים'!$B$3*H26</f>
        <v>63091.292994555624</v>
      </c>
      <c r="L26" s="208" t="str">
        <f t="shared" si="2"/>
        <v>נובמבר</v>
      </c>
      <c r="M26" s="209">
        <f t="shared" si="0"/>
        <v>41130</v>
      </c>
      <c r="N26" s="150"/>
    </row>
    <row r="29" spans="1:16" x14ac:dyDescent="0.25">
      <c r="D29" s="217">
        <f>MIN(M2:M26)</f>
        <v>40688</v>
      </c>
      <c r="I29" s="218"/>
      <c r="J29" s="219">
        <v>0.15</v>
      </c>
      <c r="K29" s="206"/>
    </row>
    <row r="30" spans="1:16" x14ac:dyDescent="0.25">
      <c r="H30" s="218"/>
      <c r="I30" s="207"/>
      <c r="J30" s="219">
        <v>0.8</v>
      </c>
      <c r="K30" s="206"/>
    </row>
    <row r="31" spans="1:16" x14ac:dyDescent="0.25">
      <c r="B31" s="220" t="str">
        <f>INDEX(B2:B26,MATCH(MAX(H2:H26),H2:H26,0),1)</f>
        <v>LB</v>
      </c>
      <c r="H31" s="221"/>
      <c r="I31" s="218"/>
      <c r="J31" s="218"/>
      <c r="K31" s="218"/>
    </row>
    <row r="32" spans="1:16" x14ac:dyDescent="0.25">
      <c r="H32" s="218"/>
    </row>
    <row r="33" spans="1:28" x14ac:dyDescent="0.25">
      <c r="AA33" s="210"/>
      <c r="AB33" s="208">
        <v>2013</v>
      </c>
    </row>
    <row r="34" spans="1:28" x14ac:dyDescent="0.25">
      <c r="AA34" s="222" t="s">
        <v>9</v>
      </c>
      <c r="AB34" s="201" t="s">
        <v>9</v>
      </c>
    </row>
    <row r="35" spans="1:28" x14ac:dyDescent="0.25">
      <c r="A35" s="208">
        <v>10000</v>
      </c>
      <c r="B35" s="208">
        <f t="array" ref="B35:B39">FREQUENCY(E2:E26,A35:A38)</f>
        <v>2</v>
      </c>
      <c r="AA35" s="222">
        <v>55000</v>
      </c>
      <c r="AB35" s="201" t="s">
        <v>11</v>
      </c>
    </row>
    <row r="36" spans="1:28" x14ac:dyDescent="0.25">
      <c r="A36" s="208">
        <v>30000</v>
      </c>
      <c r="B36" s="208">
        <v>4</v>
      </c>
      <c r="AA36" s="222">
        <v>2</v>
      </c>
      <c r="AB36" s="201">
        <v>65000</v>
      </c>
    </row>
    <row r="37" spans="1:28" x14ac:dyDescent="0.25">
      <c r="A37" s="208">
        <v>50000</v>
      </c>
      <c r="B37" s="208">
        <v>2</v>
      </c>
      <c r="M37" s="213"/>
      <c r="AA37" s="222">
        <v>1</v>
      </c>
      <c r="AB37" s="201" t="s">
        <v>100</v>
      </c>
    </row>
    <row r="38" spans="1:28" x14ac:dyDescent="0.25">
      <c r="A38" s="208">
        <v>70000</v>
      </c>
      <c r="B38" s="208">
        <v>3</v>
      </c>
      <c r="M38" s="213"/>
      <c r="AA38" s="222">
        <v>0</v>
      </c>
      <c r="AB38" s="201" t="s">
        <v>102</v>
      </c>
    </row>
    <row r="39" spans="1:28" x14ac:dyDescent="0.25">
      <c r="B39" s="208">
        <v>14</v>
      </c>
      <c r="M39" s="214" t="s">
        <v>102</v>
      </c>
      <c r="AA39" s="222">
        <v>2022</v>
      </c>
      <c r="AB39" s="201">
        <v>2012</v>
      </c>
    </row>
    <row r="40" spans="1:28" x14ac:dyDescent="0.25">
      <c r="AA40" s="222">
        <v>3</v>
      </c>
      <c r="AB40" s="201">
        <v>2016</v>
      </c>
    </row>
    <row r="41" spans="1:28" x14ac:dyDescent="0.25">
      <c r="AA41" s="222">
        <v>8</v>
      </c>
      <c r="AB41" s="201" t="s">
        <v>103</v>
      </c>
    </row>
    <row r="42" spans="1:28" x14ac:dyDescent="0.25">
      <c r="AA42" s="222">
        <v>12</v>
      </c>
      <c r="AB42" s="201" t="s">
        <v>96</v>
      </c>
    </row>
    <row r="43" spans="1:28" x14ac:dyDescent="0.25">
      <c r="K43" s="215"/>
      <c r="L43" s="215"/>
      <c r="M43" s="215"/>
      <c r="P43" s="215"/>
      <c r="AA43" s="222">
        <v>14</v>
      </c>
      <c r="AB43" s="201" t="s">
        <v>104</v>
      </c>
    </row>
    <row r="44" spans="1:28" x14ac:dyDescent="0.25">
      <c r="K44" s="215"/>
      <c r="L44" s="215"/>
      <c r="M44" s="215"/>
      <c r="P44" s="215"/>
      <c r="AA44" s="222">
        <v>15</v>
      </c>
      <c r="AB44" s="201" t="s">
        <v>105</v>
      </c>
    </row>
    <row r="45" spans="1:28" x14ac:dyDescent="0.25">
      <c r="K45" s="216" t="s">
        <v>104</v>
      </c>
      <c r="L45" s="215">
        <v>2016</v>
      </c>
      <c r="M45" s="216" t="s">
        <v>96</v>
      </c>
      <c r="P45" s="215"/>
    </row>
  </sheetData>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6" operator="containsText" id="{871D8A56-2A72-48BC-B6F7-091A19AF6BD6}">
            <xm:f>NOT(ISERROR(SEARCH($AB$38,N2)))</xm:f>
            <xm:f>$AB$38</xm:f>
            <x14:dxf>
              <font>
                <color theme="0"/>
              </font>
              <fill>
                <patternFill>
                  <bgColor theme="1" tint="4.9989318521683403E-2"/>
                </patternFill>
              </fill>
            </x14:dxf>
          </x14:cfRule>
          <xm:sqref>N2:N26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E1ED-FEBD-4208-A9AF-1FDBC63D6F37}">
  <sheetPr>
    <tabColor theme="8" tint="0.39997558519241921"/>
  </sheetPr>
  <dimension ref="A1:W52"/>
  <sheetViews>
    <sheetView rightToLeft="1" topLeftCell="C4" workbookViewId="0">
      <selection activeCell="G27" sqref="G27"/>
    </sheetView>
  </sheetViews>
  <sheetFormatPr defaultRowHeight="13.8" x14ac:dyDescent="0.25"/>
  <cols>
    <col min="1" max="2" width="0" style="94" hidden="1" customWidth="1"/>
    <col min="3" max="3" width="11.8984375" style="94" customWidth="1"/>
    <col min="4" max="4" width="13.3984375" style="94" customWidth="1"/>
    <col min="5" max="5" width="14.09765625" style="94" customWidth="1"/>
    <col min="6" max="6" width="12.5" style="94" customWidth="1"/>
    <col min="7" max="7" width="9.5" style="94" bestFit="1" customWidth="1"/>
    <col min="8" max="8" width="16.3984375" style="94" customWidth="1"/>
    <col min="9" max="9" width="8.796875" style="94"/>
    <col min="10" max="11" width="9.8984375" style="94" bestFit="1" customWidth="1"/>
    <col min="12" max="12" width="14.796875" style="94" bestFit="1" customWidth="1"/>
    <col min="13" max="14" width="8.796875" style="94"/>
    <col min="15" max="15" width="14.796875" style="94" bestFit="1" customWidth="1"/>
    <col min="16" max="16" width="8.796875" style="94"/>
    <col min="17" max="17" width="9.8984375" style="94" bestFit="1" customWidth="1"/>
    <col min="18" max="18" width="8.796875" style="94"/>
    <col min="19" max="19" width="28.59765625" style="94" bestFit="1" customWidth="1"/>
    <col min="20" max="22" width="9.8984375" style="94" bestFit="1" customWidth="1"/>
    <col min="23" max="16384" width="8.796875" style="94"/>
  </cols>
  <sheetData>
    <row r="1" spans="1:22" ht="52.8" thickBot="1" x14ac:dyDescent="0.3">
      <c r="A1" s="92" t="s">
        <v>0</v>
      </c>
      <c r="B1" s="92" t="s">
        <v>1</v>
      </c>
      <c r="C1" s="104" t="s">
        <v>2</v>
      </c>
      <c r="D1" s="413" t="s">
        <v>3</v>
      </c>
      <c r="E1" s="93" t="s">
        <v>86</v>
      </c>
      <c r="F1" s="106" t="s">
        <v>5</v>
      </c>
      <c r="G1" s="295" t="s">
        <v>3</v>
      </c>
      <c r="H1" s="296" t="s">
        <v>90</v>
      </c>
      <c r="J1" s="297" t="s">
        <v>84</v>
      </c>
      <c r="L1" s="94" t="s">
        <v>85</v>
      </c>
      <c r="T1" s="411" t="s">
        <v>567</v>
      </c>
      <c r="U1" s="376" t="s">
        <v>568</v>
      </c>
      <c r="V1" s="412" t="s">
        <v>569</v>
      </c>
    </row>
    <row r="2" spans="1:22" ht="14.4" x14ac:dyDescent="0.25">
      <c r="A2" s="95">
        <v>1855</v>
      </c>
      <c r="B2" s="95" t="s">
        <v>8</v>
      </c>
      <c r="C2" s="95" t="s">
        <v>9</v>
      </c>
      <c r="D2" s="414">
        <v>43723</v>
      </c>
      <c r="E2" s="97">
        <v>2500</v>
      </c>
      <c r="F2" s="95">
        <v>10</v>
      </c>
      <c r="G2" s="96">
        <v>43723</v>
      </c>
      <c r="H2" s="291"/>
      <c r="J2" s="415">
        <f>IF(AND(C2=$N$24,E2&lt;$O$24),T2,IF(OR(F2=$L$28,F2=$N$28),U2,V2))</f>
        <v>44469</v>
      </c>
      <c r="T2" s="98">
        <f>DATE(YEAR(D2)+$P$24,MONTH(D2)+$R$24,$Q$24)</f>
        <v>44469</v>
      </c>
      <c r="U2" s="98">
        <f>DATE($P$28,$Q$28,DAY(D2))</f>
        <v>44635</v>
      </c>
      <c r="V2" s="98">
        <f>DATE(YEAR(D2),MONTH(D2)+$O$31,DAY(D2)+$P$31)</f>
        <v>43978</v>
      </c>
    </row>
    <row r="3" spans="1:22" ht="14.4" x14ac:dyDescent="0.25">
      <c r="A3" s="95">
        <v>1856</v>
      </c>
      <c r="B3" s="95" t="s">
        <v>10</v>
      </c>
      <c r="C3" s="95" t="s">
        <v>11</v>
      </c>
      <c r="D3" s="414">
        <v>42075</v>
      </c>
      <c r="E3" s="97">
        <v>146726</v>
      </c>
      <c r="F3" s="95">
        <v>13</v>
      </c>
      <c r="G3" s="96">
        <v>42075</v>
      </c>
      <c r="H3" s="291"/>
      <c r="J3" s="415">
        <f t="shared" ref="J3:J26" si="0">IF(AND(C3=$N$24,E3&lt;$O$24),T3,IF(OR(F3=$L$28,F3=$N$28),U3,V3))</f>
        <v>42332</v>
      </c>
      <c r="T3" s="98">
        <f t="shared" ref="T3:T32" si="1">DATE(YEAR(D3)+$P$24,MONTH(D3)+$R$24,$Q$24)</f>
        <v>42825</v>
      </c>
      <c r="U3" s="98">
        <f t="shared" ref="U3:U32" si="2">DATE($P$28,$Q$28,DAY(D3))</f>
        <v>44632</v>
      </c>
      <c r="V3" s="98">
        <f t="shared" ref="V3:V32" si="3">DATE(YEAR(D3),MONTH(D3)+$O$31,DAY(D3)+$P$31)</f>
        <v>42332</v>
      </c>
    </row>
    <row r="4" spans="1:22" ht="14.4" x14ac:dyDescent="0.25">
      <c r="A4" s="95">
        <v>1857</v>
      </c>
      <c r="B4" s="95" t="s">
        <v>12</v>
      </c>
      <c r="C4" s="95" t="s">
        <v>9</v>
      </c>
      <c r="D4" s="414">
        <v>43007</v>
      </c>
      <c r="E4" s="97">
        <v>253094</v>
      </c>
      <c r="F4" s="95">
        <v>10</v>
      </c>
      <c r="G4" s="96">
        <v>43007</v>
      </c>
      <c r="H4" s="291"/>
      <c r="J4" s="415">
        <f t="shared" si="0"/>
        <v>43261</v>
      </c>
      <c r="R4" s="99"/>
      <c r="S4" s="99"/>
      <c r="T4" s="98">
        <f t="shared" si="1"/>
        <v>43738</v>
      </c>
      <c r="U4" s="98">
        <f t="shared" si="2"/>
        <v>44649</v>
      </c>
      <c r="V4" s="98">
        <f t="shared" si="3"/>
        <v>43261</v>
      </c>
    </row>
    <row r="5" spans="1:22" ht="14.4" x14ac:dyDescent="0.25">
      <c r="A5" s="95">
        <v>1858</v>
      </c>
      <c r="B5" s="95" t="s">
        <v>13</v>
      </c>
      <c r="C5" s="95" t="s">
        <v>9</v>
      </c>
      <c r="D5" s="414">
        <v>42367</v>
      </c>
      <c r="E5" s="97">
        <v>70131</v>
      </c>
      <c r="F5" s="95">
        <v>14</v>
      </c>
      <c r="G5" s="96">
        <v>42367</v>
      </c>
      <c r="H5" s="291"/>
      <c r="J5" s="415">
        <f t="shared" si="0"/>
        <v>44649</v>
      </c>
      <c r="R5" s="99"/>
      <c r="S5" s="99"/>
      <c r="T5" s="98">
        <f t="shared" si="1"/>
        <v>43100</v>
      </c>
      <c r="U5" s="98">
        <f t="shared" si="2"/>
        <v>44649</v>
      </c>
      <c r="V5" s="98">
        <f t="shared" si="3"/>
        <v>42623</v>
      </c>
    </row>
    <row r="6" spans="1:22" ht="14.4" x14ac:dyDescent="0.25">
      <c r="A6" s="95">
        <v>1859</v>
      </c>
      <c r="B6" s="95" t="s">
        <v>14</v>
      </c>
      <c r="C6" s="95" t="s">
        <v>9</v>
      </c>
      <c r="D6" s="414">
        <v>43866</v>
      </c>
      <c r="E6" s="97">
        <v>63372</v>
      </c>
      <c r="F6" s="95">
        <v>15</v>
      </c>
      <c r="G6" s="96">
        <v>43866</v>
      </c>
      <c r="H6" s="291"/>
      <c r="J6" s="415">
        <f t="shared" si="0"/>
        <v>44625</v>
      </c>
      <c r="R6" s="99"/>
      <c r="S6" s="99"/>
      <c r="T6" s="98">
        <f t="shared" si="1"/>
        <v>44620</v>
      </c>
      <c r="U6" s="98">
        <f t="shared" si="2"/>
        <v>44625</v>
      </c>
      <c r="V6" s="98">
        <f t="shared" si="3"/>
        <v>44121</v>
      </c>
    </row>
    <row r="7" spans="1:22" ht="14.4" x14ac:dyDescent="0.25">
      <c r="A7" s="95">
        <v>1860</v>
      </c>
      <c r="B7" s="95" t="s">
        <v>13</v>
      </c>
      <c r="C7" s="95" t="s">
        <v>11</v>
      </c>
      <c r="D7" s="414">
        <v>43604</v>
      </c>
      <c r="E7" s="97">
        <v>72483</v>
      </c>
      <c r="F7" s="95">
        <v>15</v>
      </c>
      <c r="G7" s="96">
        <v>43604</v>
      </c>
      <c r="H7" s="291"/>
      <c r="J7" s="415">
        <f t="shared" si="0"/>
        <v>44639</v>
      </c>
      <c r="R7" s="99"/>
      <c r="S7" s="99"/>
      <c r="T7" s="98">
        <f t="shared" si="1"/>
        <v>44347</v>
      </c>
      <c r="U7" s="98">
        <f t="shared" si="2"/>
        <v>44639</v>
      </c>
      <c r="V7" s="98">
        <f t="shared" si="3"/>
        <v>43861</v>
      </c>
    </row>
    <row r="8" spans="1:22" ht="14.4" x14ac:dyDescent="0.25">
      <c r="A8" s="95">
        <v>1861</v>
      </c>
      <c r="B8" s="95" t="s">
        <v>15</v>
      </c>
      <c r="C8" s="95" t="s">
        <v>11</v>
      </c>
      <c r="D8" s="414">
        <v>42562</v>
      </c>
      <c r="E8" s="97">
        <v>108877</v>
      </c>
      <c r="F8" s="95">
        <v>13</v>
      </c>
      <c r="G8" s="96">
        <v>42562</v>
      </c>
      <c r="H8" s="291"/>
      <c r="J8" s="415">
        <f t="shared" si="0"/>
        <v>42817</v>
      </c>
      <c r="R8" s="99"/>
      <c r="S8" s="99"/>
      <c r="T8" s="98">
        <f t="shared" si="1"/>
        <v>43312</v>
      </c>
      <c r="U8" s="98">
        <f t="shared" si="2"/>
        <v>44631</v>
      </c>
      <c r="V8" s="98">
        <f t="shared" si="3"/>
        <v>42817</v>
      </c>
    </row>
    <row r="9" spans="1:22" ht="14.4" x14ac:dyDescent="0.25">
      <c r="A9" s="95">
        <v>1862</v>
      </c>
      <c r="B9" s="95" t="s">
        <v>16</v>
      </c>
      <c r="C9" s="95" t="s">
        <v>11</v>
      </c>
      <c r="D9" s="414">
        <v>44321</v>
      </c>
      <c r="E9" s="97">
        <v>96681</v>
      </c>
      <c r="F9" s="95">
        <v>10</v>
      </c>
      <c r="G9" s="96">
        <v>44321</v>
      </c>
      <c r="H9" s="291"/>
      <c r="J9" s="415">
        <f t="shared" si="0"/>
        <v>44578</v>
      </c>
      <c r="R9" s="99"/>
      <c r="S9" s="99"/>
      <c r="T9" s="98">
        <f t="shared" si="1"/>
        <v>45077</v>
      </c>
      <c r="U9" s="98">
        <f t="shared" si="2"/>
        <v>44625</v>
      </c>
      <c r="V9" s="98">
        <f t="shared" si="3"/>
        <v>44578</v>
      </c>
    </row>
    <row r="10" spans="1:22" ht="14.4" x14ac:dyDescent="0.25">
      <c r="A10" s="95">
        <v>1863</v>
      </c>
      <c r="B10" s="95" t="s">
        <v>17</v>
      </c>
      <c r="C10" s="95" t="s">
        <v>11</v>
      </c>
      <c r="D10" s="414">
        <v>43400</v>
      </c>
      <c r="E10" s="97">
        <v>66590</v>
      </c>
      <c r="F10" s="95">
        <v>15</v>
      </c>
      <c r="G10" s="96">
        <v>43400</v>
      </c>
      <c r="H10" s="291"/>
      <c r="J10" s="415">
        <f t="shared" si="0"/>
        <v>44647</v>
      </c>
      <c r="R10" s="99"/>
      <c r="S10" s="99"/>
      <c r="T10" s="98">
        <f t="shared" si="1"/>
        <v>44135</v>
      </c>
      <c r="U10" s="98">
        <f t="shared" si="2"/>
        <v>44647</v>
      </c>
      <c r="V10" s="98">
        <f t="shared" si="3"/>
        <v>43655</v>
      </c>
    </row>
    <row r="11" spans="1:22" ht="14.4" x14ac:dyDescent="0.25">
      <c r="A11" s="95">
        <v>1864</v>
      </c>
      <c r="B11" s="95" t="s">
        <v>18</v>
      </c>
      <c r="C11" s="95" t="s">
        <v>19</v>
      </c>
      <c r="D11" s="414">
        <v>43977</v>
      </c>
      <c r="E11" s="97">
        <v>224708</v>
      </c>
      <c r="F11" s="95">
        <v>10</v>
      </c>
      <c r="G11" s="96">
        <v>43977</v>
      </c>
      <c r="H11" s="291"/>
      <c r="J11" s="415">
        <f t="shared" si="0"/>
        <v>44234</v>
      </c>
      <c r="R11" s="99"/>
      <c r="S11" s="99"/>
      <c r="T11" s="98">
        <f t="shared" si="1"/>
        <v>44712</v>
      </c>
      <c r="U11" s="98">
        <f t="shared" si="2"/>
        <v>44646</v>
      </c>
      <c r="V11" s="98">
        <f t="shared" si="3"/>
        <v>44234</v>
      </c>
    </row>
    <row r="12" spans="1:22" ht="14.4" x14ac:dyDescent="0.25">
      <c r="A12" s="95">
        <v>1865</v>
      </c>
      <c r="B12" s="95" t="s">
        <v>20</v>
      </c>
      <c r="C12" s="95" t="s">
        <v>9</v>
      </c>
      <c r="D12" s="414">
        <v>44029</v>
      </c>
      <c r="E12" s="97">
        <v>49492</v>
      </c>
      <c r="F12" s="95">
        <v>14</v>
      </c>
      <c r="G12" s="96">
        <v>44029</v>
      </c>
      <c r="H12" s="291"/>
      <c r="J12" s="415">
        <f t="shared" si="0"/>
        <v>44773</v>
      </c>
      <c r="T12" s="98">
        <f t="shared" si="1"/>
        <v>44773</v>
      </c>
      <c r="U12" s="98">
        <f t="shared" si="2"/>
        <v>44637</v>
      </c>
      <c r="V12" s="98">
        <f t="shared" si="3"/>
        <v>44284</v>
      </c>
    </row>
    <row r="13" spans="1:22" ht="14.4" x14ac:dyDescent="0.25">
      <c r="A13" s="95">
        <v>1866</v>
      </c>
      <c r="B13" s="95" t="s">
        <v>21</v>
      </c>
      <c r="C13" s="95" t="s">
        <v>9</v>
      </c>
      <c r="D13" s="414">
        <v>40661</v>
      </c>
      <c r="E13" s="97">
        <v>76982</v>
      </c>
      <c r="F13" s="95">
        <v>13</v>
      </c>
      <c r="G13" s="96">
        <v>40661</v>
      </c>
      <c r="H13" s="291"/>
      <c r="J13" s="415">
        <f t="shared" si="0"/>
        <v>40917</v>
      </c>
      <c r="T13" s="98">
        <f t="shared" si="1"/>
        <v>41394</v>
      </c>
      <c r="U13" s="98">
        <f t="shared" si="2"/>
        <v>44648</v>
      </c>
      <c r="V13" s="98">
        <f t="shared" si="3"/>
        <v>40917</v>
      </c>
    </row>
    <row r="14" spans="1:22" ht="14.4" x14ac:dyDescent="0.25">
      <c r="A14" s="95">
        <v>1867</v>
      </c>
      <c r="B14" s="95" t="s">
        <v>22</v>
      </c>
      <c r="C14" s="95" t="s">
        <v>19</v>
      </c>
      <c r="D14" s="414">
        <v>40434</v>
      </c>
      <c r="E14" s="97">
        <v>184883</v>
      </c>
      <c r="F14" s="95">
        <v>10</v>
      </c>
      <c r="G14" s="96">
        <v>40434</v>
      </c>
      <c r="H14" s="291"/>
      <c r="J14" s="415">
        <f t="shared" si="0"/>
        <v>40688</v>
      </c>
      <c r="T14" s="98">
        <f t="shared" si="1"/>
        <v>41182</v>
      </c>
      <c r="U14" s="98">
        <f t="shared" si="2"/>
        <v>44633</v>
      </c>
      <c r="V14" s="98">
        <f t="shared" si="3"/>
        <v>40688</v>
      </c>
    </row>
    <row r="15" spans="1:22" ht="14.4" x14ac:dyDescent="0.25">
      <c r="A15" s="95">
        <v>1868</v>
      </c>
      <c r="B15" s="95" t="s">
        <v>23</v>
      </c>
      <c r="C15" s="95" t="s">
        <v>19</v>
      </c>
      <c r="D15" s="414">
        <v>41924</v>
      </c>
      <c r="E15" s="97">
        <v>8780</v>
      </c>
      <c r="F15" s="95">
        <v>10</v>
      </c>
      <c r="G15" s="96">
        <v>41924</v>
      </c>
      <c r="H15" s="291"/>
      <c r="J15" s="415">
        <f t="shared" si="0"/>
        <v>42179</v>
      </c>
      <c r="T15" s="98">
        <f t="shared" si="1"/>
        <v>42674</v>
      </c>
      <c r="U15" s="98">
        <f t="shared" si="2"/>
        <v>44632</v>
      </c>
      <c r="V15" s="98">
        <f t="shared" si="3"/>
        <v>42179</v>
      </c>
    </row>
    <row r="16" spans="1:22" ht="14.4" x14ac:dyDescent="0.25">
      <c r="A16" s="95">
        <v>1869</v>
      </c>
      <c r="B16" s="95" t="s">
        <v>24</v>
      </c>
      <c r="C16" s="95" t="s">
        <v>9</v>
      </c>
      <c r="D16" s="414">
        <v>41231</v>
      </c>
      <c r="E16" s="97">
        <v>46900</v>
      </c>
      <c r="F16" s="95">
        <v>14</v>
      </c>
      <c r="G16" s="96">
        <v>41231</v>
      </c>
      <c r="H16" s="291"/>
      <c r="J16" s="415">
        <f t="shared" si="0"/>
        <v>41973</v>
      </c>
      <c r="T16" s="98">
        <f t="shared" si="1"/>
        <v>41973</v>
      </c>
      <c r="U16" s="98">
        <f t="shared" si="2"/>
        <v>44638</v>
      </c>
      <c r="V16" s="98">
        <f t="shared" si="3"/>
        <v>41485</v>
      </c>
    </row>
    <row r="17" spans="1:23" ht="14.4" x14ac:dyDescent="0.25">
      <c r="A17" s="95">
        <v>1870</v>
      </c>
      <c r="B17" s="95" t="s">
        <v>25</v>
      </c>
      <c r="C17" s="95" t="s">
        <v>9</v>
      </c>
      <c r="D17" s="414">
        <v>41419</v>
      </c>
      <c r="E17" s="97">
        <v>162174</v>
      </c>
      <c r="F17" s="95">
        <v>14</v>
      </c>
      <c r="G17" s="96">
        <v>41419</v>
      </c>
      <c r="H17" s="291"/>
      <c r="J17" s="415">
        <f t="shared" si="0"/>
        <v>44645</v>
      </c>
      <c r="T17" s="98">
        <f t="shared" si="1"/>
        <v>42155</v>
      </c>
      <c r="U17" s="98">
        <f t="shared" si="2"/>
        <v>44645</v>
      </c>
      <c r="V17" s="98">
        <f t="shared" si="3"/>
        <v>41676</v>
      </c>
    </row>
    <row r="18" spans="1:23" ht="14.4" x14ac:dyDescent="0.25">
      <c r="A18" s="95">
        <v>1871</v>
      </c>
      <c r="B18" s="95" t="s">
        <v>20</v>
      </c>
      <c r="C18" s="95" t="s">
        <v>9</v>
      </c>
      <c r="D18" s="414">
        <v>41617</v>
      </c>
      <c r="E18" s="97">
        <v>10321</v>
      </c>
      <c r="F18" s="95">
        <v>14</v>
      </c>
      <c r="G18" s="96">
        <v>41617</v>
      </c>
      <c r="H18" s="291"/>
      <c r="J18" s="415">
        <f t="shared" si="0"/>
        <v>42369</v>
      </c>
      <c r="T18" s="98">
        <f t="shared" si="1"/>
        <v>42369</v>
      </c>
      <c r="U18" s="98">
        <f t="shared" si="2"/>
        <v>44629</v>
      </c>
      <c r="V18" s="98">
        <f t="shared" si="3"/>
        <v>41872</v>
      </c>
    </row>
    <row r="19" spans="1:23" ht="14.4" x14ac:dyDescent="0.25">
      <c r="A19" s="95">
        <v>1872</v>
      </c>
      <c r="B19" s="95" t="s">
        <v>26</v>
      </c>
      <c r="C19" s="95" t="s">
        <v>9</v>
      </c>
      <c r="D19" s="414">
        <v>43638</v>
      </c>
      <c r="E19" s="97">
        <v>56091</v>
      </c>
      <c r="F19" s="95">
        <v>15</v>
      </c>
      <c r="G19" s="96">
        <v>43638</v>
      </c>
      <c r="H19" s="291"/>
      <c r="J19" s="415">
        <f t="shared" si="0"/>
        <v>44642</v>
      </c>
      <c r="T19" s="98">
        <f t="shared" si="1"/>
        <v>44377</v>
      </c>
      <c r="U19" s="98">
        <f t="shared" si="2"/>
        <v>44642</v>
      </c>
      <c r="V19" s="98">
        <f t="shared" si="3"/>
        <v>43895</v>
      </c>
    </row>
    <row r="20" spans="1:23" ht="14.4" x14ac:dyDescent="0.25">
      <c r="A20" s="95">
        <v>1873</v>
      </c>
      <c r="B20" s="95" t="s">
        <v>27</v>
      </c>
      <c r="C20" s="95" t="s">
        <v>11</v>
      </c>
      <c r="D20" s="414">
        <v>43291</v>
      </c>
      <c r="E20" s="97">
        <v>12866</v>
      </c>
      <c r="F20" s="95">
        <v>10</v>
      </c>
      <c r="G20" s="96">
        <v>43291</v>
      </c>
      <c r="H20" s="291"/>
      <c r="J20" s="415">
        <f t="shared" si="0"/>
        <v>43546</v>
      </c>
      <c r="T20" s="98">
        <f t="shared" si="1"/>
        <v>44043</v>
      </c>
      <c r="U20" s="98">
        <f t="shared" si="2"/>
        <v>44630</v>
      </c>
      <c r="V20" s="98">
        <f t="shared" si="3"/>
        <v>43546</v>
      </c>
    </row>
    <row r="21" spans="1:23" ht="14.4" x14ac:dyDescent="0.25">
      <c r="A21" s="95">
        <v>1874</v>
      </c>
      <c r="B21" s="95" t="s">
        <v>28</v>
      </c>
      <c r="C21" s="95" t="s">
        <v>11</v>
      </c>
      <c r="D21" s="414">
        <v>43282</v>
      </c>
      <c r="E21" s="97">
        <v>71270</v>
      </c>
      <c r="F21" s="95">
        <v>13</v>
      </c>
      <c r="G21" s="96">
        <v>43282</v>
      </c>
      <c r="H21" s="291"/>
      <c r="J21" s="415">
        <f t="shared" si="0"/>
        <v>43537</v>
      </c>
      <c r="T21" s="98">
        <f t="shared" si="1"/>
        <v>44043</v>
      </c>
      <c r="U21" s="98">
        <f t="shared" si="2"/>
        <v>44621</v>
      </c>
      <c r="V21" s="98">
        <f t="shared" si="3"/>
        <v>43537</v>
      </c>
    </row>
    <row r="22" spans="1:23" ht="14.4" x14ac:dyDescent="0.25">
      <c r="A22" s="95">
        <v>1875</v>
      </c>
      <c r="B22" s="95" t="s">
        <v>29</v>
      </c>
      <c r="C22" s="95" t="s">
        <v>11</v>
      </c>
      <c r="D22" s="414">
        <v>43497</v>
      </c>
      <c r="E22" s="97">
        <v>10129</v>
      </c>
      <c r="F22" s="95">
        <v>14</v>
      </c>
      <c r="G22" s="96">
        <v>43497</v>
      </c>
      <c r="H22" s="291"/>
      <c r="J22" s="415">
        <f t="shared" si="0"/>
        <v>44621</v>
      </c>
      <c r="T22" s="98">
        <f t="shared" si="1"/>
        <v>44255</v>
      </c>
      <c r="U22" s="98">
        <f t="shared" si="2"/>
        <v>44621</v>
      </c>
      <c r="V22" s="98">
        <f t="shared" si="3"/>
        <v>43751</v>
      </c>
    </row>
    <row r="23" spans="1:23" ht="14.4" x14ac:dyDescent="0.25">
      <c r="A23" s="95">
        <v>1876</v>
      </c>
      <c r="B23" s="95" t="s">
        <v>30</v>
      </c>
      <c r="C23" s="95" t="s">
        <v>19</v>
      </c>
      <c r="D23" s="414">
        <v>42752</v>
      </c>
      <c r="E23" s="97">
        <v>143689</v>
      </c>
      <c r="F23" s="95">
        <v>13</v>
      </c>
      <c r="G23" s="96">
        <v>42752</v>
      </c>
      <c r="H23" s="291"/>
      <c r="J23" s="415">
        <f t="shared" si="0"/>
        <v>43007</v>
      </c>
      <c r="K23" s="98"/>
      <c r="L23" s="437" t="s">
        <v>87</v>
      </c>
      <c r="M23" s="437"/>
      <c r="N23" s="437"/>
      <c r="O23" s="437"/>
      <c r="P23" s="437"/>
      <c r="Q23" s="437"/>
      <c r="R23" s="437"/>
      <c r="S23" s="437"/>
      <c r="T23" s="98">
        <f t="shared" si="1"/>
        <v>43496</v>
      </c>
      <c r="U23" s="98">
        <f t="shared" si="2"/>
        <v>44637</v>
      </c>
      <c r="V23" s="98">
        <f t="shared" si="3"/>
        <v>43007</v>
      </c>
      <c r="W23" s="103"/>
    </row>
    <row r="24" spans="1:23" ht="20.399999999999999" x14ac:dyDescent="0.25">
      <c r="A24" s="95">
        <v>1877</v>
      </c>
      <c r="B24" s="95" t="s">
        <v>31</v>
      </c>
      <c r="C24" s="95" t="s">
        <v>19</v>
      </c>
      <c r="D24" s="414">
        <v>43140</v>
      </c>
      <c r="E24" s="97">
        <v>25719</v>
      </c>
      <c r="F24" s="95">
        <v>12</v>
      </c>
      <c r="G24" s="96">
        <v>43140</v>
      </c>
      <c r="H24" s="291"/>
      <c r="J24" s="415">
        <f t="shared" si="0"/>
        <v>43394</v>
      </c>
      <c r="K24" s="98"/>
      <c r="L24" s="100"/>
      <c r="M24" s="100"/>
      <c r="N24" s="100" t="s">
        <v>9</v>
      </c>
      <c r="O24" s="100">
        <v>55000</v>
      </c>
      <c r="P24" s="100">
        <v>2</v>
      </c>
      <c r="Q24" s="100">
        <v>0</v>
      </c>
      <c r="R24" s="100">
        <v>1</v>
      </c>
      <c r="T24" s="98">
        <f t="shared" si="1"/>
        <v>43890</v>
      </c>
      <c r="U24" s="98">
        <f t="shared" si="2"/>
        <v>44629</v>
      </c>
      <c r="V24" s="98">
        <f t="shared" si="3"/>
        <v>43394</v>
      </c>
    </row>
    <row r="25" spans="1:23" ht="20.399999999999999" x14ac:dyDescent="0.25">
      <c r="A25" s="95">
        <v>1878</v>
      </c>
      <c r="B25" s="95" t="s">
        <v>32</v>
      </c>
      <c r="C25" s="95" t="s">
        <v>9</v>
      </c>
      <c r="D25" s="414">
        <v>42629</v>
      </c>
      <c r="E25" s="97">
        <v>215746</v>
      </c>
      <c r="F25" s="95">
        <v>14</v>
      </c>
      <c r="G25" s="96">
        <v>42629</v>
      </c>
      <c r="H25" s="291"/>
      <c r="J25" s="415">
        <f t="shared" si="0"/>
        <v>44636</v>
      </c>
      <c r="K25" s="98"/>
      <c r="L25" s="100"/>
      <c r="M25" s="100"/>
      <c r="N25" s="100"/>
      <c r="O25" s="100"/>
      <c r="P25" s="100"/>
      <c r="Q25" s="100"/>
      <c r="R25" s="100"/>
      <c r="T25" s="98">
        <f t="shared" si="1"/>
        <v>43373</v>
      </c>
      <c r="U25" s="98">
        <f t="shared" si="2"/>
        <v>44636</v>
      </c>
      <c r="V25" s="98">
        <f t="shared" si="3"/>
        <v>42883</v>
      </c>
      <c r="W25" s="100"/>
    </row>
    <row r="26" spans="1:23" ht="14.4" x14ac:dyDescent="0.25">
      <c r="A26" s="95">
        <v>1879</v>
      </c>
      <c r="B26" s="95" t="s">
        <v>33</v>
      </c>
      <c r="C26" s="95" t="s">
        <v>19</v>
      </c>
      <c r="D26" s="414">
        <v>40875</v>
      </c>
      <c r="E26" s="97">
        <v>131191</v>
      </c>
      <c r="F26" s="95">
        <v>10</v>
      </c>
      <c r="G26" s="96">
        <v>40875</v>
      </c>
      <c r="H26" s="291"/>
      <c r="J26" s="415">
        <f t="shared" si="0"/>
        <v>41130</v>
      </c>
      <c r="K26" s="98"/>
      <c r="T26" s="98">
        <f t="shared" si="1"/>
        <v>41608</v>
      </c>
      <c r="U26" s="98">
        <f t="shared" si="2"/>
        <v>44648</v>
      </c>
      <c r="V26" s="98">
        <f t="shared" si="3"/>
        <v>41130</v>
      </c>
    </row>
    <row r="27" spans="1:23" x14ac:dyDescent="0.25">
      <c r="K27" s="98"/>
      <c r="L27" s="438" t="s">
        <v>88</v>
      </c>
      <c r="M27" s="438"/>
      <c r="N27" s="438"/>
      <c r="O27" s="438"/>
      <c r="P27" s="438"/>
      <c r="Q27" s="438"/>
      <c r="R27" s="438"/>
      <c r="S27" s="438"/>
      <c r="T27" s="98">
        <f t="shared" si="1"/>
        <v>762</v>
      </c>
      <c r="U27" s="98">
        <f t="shared" si="2"/>
        <v>44620</v>
      </c>
      <c r="V27" s="98">
        <f t="shared" si="3"/>
        <v>256</v>
      </c>
    </row>
    <row r="28" spans="1:23" ht="20.399999999999999" x14ac:dyDescent="0.25">
      <c r="J28" s="100"/>
      <c r="K28" s="98"/>
      <c r="L28" s="100">
        <v>14</v>
      </c>
      <c r="M28" s="100"/>
      <c r="N28" s="100">
        <v>15</v>
      </c>
      <c r="O28" s="100"/>
      <c r="P28" s="100">
        <v>2022</v>
      </c>
      <c r="Q28" s="100">
        <v>3</v>
      </c>
      <c r="T28" s="98">
        <f t="shared" si="1"/>
        <v>762</v>
      </c>
      <c r="U28" s="98">
        <f t="shared" si="2"/>
        <v>44620</v>
      </c>
      <c r="V28" s="98">
        <f t="shared" si="3"/>
        <v>256</v>
      </c>
      <c r="W28" s="100"/>
    </row>
    <row r="29" spans="1:23" ht="20.399999999999999" customHeight="1" x14ac:dyDescent="0.25">
      <c r="J29" s="100"/>
      <c r="K29" s="98"/>
      <c r="L29" s="100"/>
      <c r="M29" s="100"/>
      <c r="N29" s="100"/>
      <c r="O29" s="100"/>
      <c r="P29" s="100"/>
      <c r="Q29" s="100"/>
      <c r="R29" s="100"/>
      <c r="T29" s="98">
        <f t="shared" si="1"/>
        <v>762</v>
      </c>
      <c r="U29" s="98">
        <f t="shared" si="2"/>
        <v>44620</v>
      </c>
      <c r="V29" s="98">
        <f t="shared" si="3"/>
        <v>256</v>
      </c>
    </row>
    <row r="30" spans="1:23" ht="20.399999999999999" x14ac:dyDescent="0.25">
      <c r="J30" s="100"/>
      <c r="K30" s="98"/>
      <c r="L30" s="439" t="s">
        <v>89</v>
      </c>
      <c r="M30" s="439"/>
      <c r="N30" s="439"/>
      <c r="O30" s="439"/>
      <c r="P30" s="439"/>
      <c r="Q30" s="439"/>
      <c r="R30" s="439"/>
      <c r="S30" s="439"/>
      <c r="T30" s="98">
        <f t="shared" si="1"/>
        <v>762</v>
      </c>
      <c r="U30" s="98">
        <f t="shared" si="2"/>
        <v>44620</v>
      </c>
      <c r="V30" s="98">
        <f t="shared" si="3"/>
        <v>256</v>
      </c>
    </row>
    <row r="31" spans="1:23" x14ac:dyDescent="0.25">
      <c r="K31" s="98"/>
      <c r="O31" s="94">
        <v>8</v>
      </c>
      <c r="P31" s="94">
        <v>12</v>
      </c>
      <c r="T31" s="98">
        <f t="shared" si="1"/>
        <v>762</v>
      </c>
      <c r="U31" s="98">
        <f t="shared" si="2"/>
        <v>44620</v>
      </c>
      <c r="V31" s="98">
        <f t="shared" si="3"/>
        <v>256</v>
      </c>
    </row>
    <row r="32" spans="1:23" ht="20.399999999999999" x14ac:dyDescent="0.25">
      <c r="K32" s="98"/>
      <c r="Q32" s="100"/>
      <c r="R32" s="100"/>
      <c r="S32" s="100"/>
      <c r="T32" s="98">
        <f t="shared" si="1"/>
        <v>762</v>
      </c>
      <c r="U32" s="98">
        <f t="shared" si="2"/>
        <v>44620</v>
      </c>
      <c r="V32" s="98">
        <f t="shared" si="3"/>
        <v>256</v>
      </c>
    </row>
    <row r="33" spans="10:22" ht="20.399999999999999" x14ac:dyDescent="0.25">
      <c r="J33" s="100"/>
      <c r="K33" s="98"/>
      <c r="L33" s="100"/>
      <c r="M33" s="100"/>
      <c r="N33" s="100"/>
      <c r="O33" s="100"/>
      <c r="P33" s="100"/>
      <c r="Q33" s="100"/>
      <c r="R33" s="100"/>
      <c r="S33" s="100"/>
      <c r="T33" s="100"/>
      <c r="U33" s="100"/>
      <c r="V33" s="100"/>
    </row>
    <row r="34" spans="10:22" ht="20.399999999999999" x14ac:dyDescent="0.25">
      <c r="J34" s="100"/>
      <c r="K34" s="100"/>
      <c r="L34" s="100"/>
      <c r="M34" s="100"/>
      <c r="N34" s="102"/>
      <c r="O34" s="100"/>
      <c r="P34" s="100"/>
      <c r="Q34" s="100"/>
      <c r="R34" s="100"/>
      <c r="S34" s="100"/>
      <c r="T34" s="100"/>
      <c r="U34" s="100"/>
      <c r="V34" s="100"/>
    </row>
    <row r="37" spans="10:22" ht="20.399999999999999" x14ac:dyDescent="0.25">
      <c r="O37" s="107"/>
    </row>
    <row r="38" spans="10:22" ht="20.399999999999999" x14ac:dyDescent="0.25">
      <c r="J38" s="100"/>
      <c r="K38" s="100"/>
      <c r="L38" s="100"/>
      <c r="M38" s="100"/>
      <c r="N38" s="102"/>
      <c r="O38" s="100"/>
      <c r="P38" s="100"/>
      <c r="Q38" s="100"/>
      <c r="R38" s="100"/>
      <c r="S38" s="100"/>
      <c r="T38" s="100"/>
      <c r="U38" s="100"/>
      <c r="V38" s="100"/>
    </row>
    <row r="39" spans="10:22" ht="20.399999999999999" x14ac:dyDescent="0.25">
      <c r="J39" s="100"/>
      <c r="K39" s="100"/>
      <c r="L39" s="100"/>
      <c r="M39" s="100"/>
      <c r="N39" s="100"/>
      <c r="O39" s="100"/>
      <c r="P39" s="100"/>
      <c r="Q39" s="100"/>
      <c r="R39" s="100"/>
      <c r="S39" s="100"/>
      <c r="T39" s="100"/>
      <c r="U39" s="100"/>
      <c r="V39" s="100"/>
    </row>
    <row r="40" spans="10:22" ht="20.399999999999999" x14ac:dyDescent="0.25">
      <c r="J40" s="100"/>
      <c r="K40" s="100"/>
      <c r="L40" s="100"/>
      <c r="M40" s="100"/>
      <c r="N40" s="100"/>
      <c r="O40" s="107"/>
      <c r="P40" s="100"/>
      <c r="Q40" s="100"/>
      <c r="R40" s="100"/>
      <c r="S40" s="100"/>
      <c r="T40" s="100"/>
      <c r="U40" s="100"/>
      <c r="V40" s="100"/>
    </row>
    <row r="41" spans="10:22" ht="20.399999999999999" x14ac:dyDescent="0.25">
      <c r="J41" s="100"/>
      <c r="K41" s="100"/>
      <c r="L41" s="100"/>
      <c r="M41" s="100"/>
      <c r="N41" s="100"/>
      <c r="O41" s="100"/>
      <c r="P41" s="100"/>
      <c r="Q41" s="100"/>
      <c r="R41" s="100"/>
      <c r="S41" s="100"/>
      <c r="T41" s="100"/>
      <c r="U41" s="100"/>
      <c r="V41" s="100"/>
    </row>
    <row r="42" spans="10:22" ht="20.399999999999999" x14ac:dyDescent="0.25">
      <c r="J42" s="100"/>
      <c r="K42" s="100"/>
      <c r="L42" s="100"/>
      <c r="M42" s="100"/>
      <c r="N42" s="100"/>
      <c r="O42" s="100"/>
      <c r="P42" s="100"/>
      <c r="Q42" s="100"/>
      <c r="R42" s="100"/>
      <c r="S42" s="100"/>
    </row>
    <row r="43" spans="10:22" ht="20.399999999999999" x14ac:dyDescent="0.25">
      <c r="J43" s="100"/>
      <c r="K43" s="100"/>
      <c r="L43" s="107"/>
      <c r="M43" s="100"/>
      <c r="N43" s="100"/>
      <c r="O43" s="100"/>
      <c r="P43" s="100"/>
      <c r="Q43" s="100"/>
      <c r="R43" s="100"/>
      <c r="S43" s="100"/>
    </row>
    <row r="44" spans="10:22" ht="20.399999999999999" x14ac:dyDescent="0.25">
      <c r="J44" s="100"/>
      <c r="K44" s="100"/>
      <c r="L44" s="100"/>
      <c r="M44" s="100"/>
      <c r="N44" s="100"/>
      <c r="O44" s="100"/>
      <c r="P44" s="100"/>
      <c r="Q44" s="100"/>
      <c r="R44" s="100"/>
      <c r="S44" s="100"/>
    </row>
    <row r="45" spans="10:22" ht="20.399999999999999" x14ac:dyDescent="0.25">
      <c r="J45" s="100"/>
      <c r="K45" s="100"/>
      <c r="L45" s="100"/>
      <c r="M45" s="100"/>
      <c r="N45" s="100"/>
      <c r="O45" s="100"/>
      <c r="P45" s="100"/>
      <c r="Q45" s="100"/>
      <c r="R45" s="100"/>
      <c r="S45" s="100"/>
    </row>
    <row r="46" spans="10:22" ht="20.399999999999999" x14ac:dyDescent="0.25">
      <c r="J46" s="100"/>
      <c r="K46" s="100"/>
      <c r="L46" s="100"/>
      <c r="M46" s="100"/>
      <c r="N46" s="100"/>
      <c r="P46" s="100"/>
      <c r="Q46" s="100"/>
      <c r="R46" s="100"/>
      <c r="S46" s="100"/>
    </row>
    <row r="47" spans="10:22" ht="20.399999999999999" x14ac:dyDescent="0.25">
      <c r="N47" s="100"/>
    </row>
    <row r="48" spans="10:22" ht="20.399999999999999" x14ac:dyDescent="0.25">
      <c r="N48" s="100"/>
      <c r="Q48" s="98"/>
    </row>
    <row r="49" spans="14:14" ht="20.399999999999999" x14ac:dyDescent="0.25">
      <c r="N49" s="100"/>
    </row>
    <row r="50" spans="14:14" ht="20.399999999999999" x14ac:dyDescent="0.25">
      <c r="N50" s="100"/>
    </row>
    <row r="51" spans="14:14" ht="20.399999999999999" x14ac:dyDescent="0.25">
      <c r="N51" s="100"/>
    </row>
    <row r="52" spans="14:14" ht="20.399999999999999" x14ac:dyDescent="0.25">
      <c r="N52" s="100"/>
    </row>
  </sheetData>
  <mergeCells count="3">
    <mergeCell ref="L23:S23"/>
    <mergeCell ref="L27:S27"/>
    <mergeCell ref="L30:S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17</vt:i4>
      </vt:variant>
      <vt:variant>
        <vt:lpstr>טווחים בעלי שם</vt:lpstr>
      </vt:variant>
      <vt:variant>
        <vt:i4>2</vt:i4>
      </vt:variant>
    </vt:vector>
  </HeadingPairs>
  <TitlesOfParts>
    <vt:vector size="19" baseType="lpstr">
      <vt:lpstr>טיפים</vt:lpstr>
      <vt:lpstr>xlookup</vt:lpstr>
      <vt:lpstr>xlookup+xlookup</vt:lpstr>
      <vt:lpstr>xlookup בתוך xlookup</vt:lpstr>
      <vt:lpstr>X בתוך X רופאים</vt:lpstr>
      <vt:lpstr>רופאים נתוני עזר</vt:lpstr>
      <vt:lpstr>IF בתוך IF רופאים</vt:lpstr>
      <vt:lpstr>IF בתוך IF</vt:lpstr>
      <vt:lpstr>If+Date</vt:lpstr>
      <vt:lpstr>Dsum</vt:lpstr>
      <vt:lpstr>פרוגרסיבי 1</vt:lpstr>
      <vt:lpstr>CountIf</vt:lpstr>
      <vt:lpstr>AverageIf</vt:lpstr>
      <vt:lpstr>סינון מתקדם</vt:lpstr>
      <vt:lpstr>ניתוח רגישות + חתירה למטרה DSUM</vt:lpstr>
      <vt:lpstr>frequency</vt:lpstr>
      <vt:lpstr>ריבוי תנאים</vt:lpstr>
      <vt:lpstr>'IF בתוך IF רופאים'!TAX</vt:lpstr>
      <vt:lpstr>TAX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משתמש</dc:creator>
  <cp:lastModifiedBy>roy idan</cp:lastModifiedBy>
  <dcterms:created xsi:type="dcterms:W3CDTF">2015-06-05T18:19:34Z</dcterms:created>
  <dcterms:modified xsi:type="dcterms:W3CDTF">2026-02-05T12:04:27Z</dcterms:modified>
</cp:coreProperties>
</file>