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משתמש\Downloads\"/>
    </mc:Choice>
  </mc:AlternateContent>
  <xr:revisionPtr revIDLastSave="0" documentId="13_ncr:1_{A16837D6-144D-490B-B1DF-C7274B472DFE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לקוחות" sheetId="1" r:id="rId1"/>
    <sheet name="דוח  נישומים" sheetId="9" r:id="rId2"/>
    <sheet name="עידוד  הצמיחה" sheetId="8" r:id="rId3"/>
    <sheet name="נתוני עזר" sheetId="2" r:id="rId4"/>
    <sheet name="התפלגות הכנסות" sheetId="5" r:id="rId5"/>
    <sheet name="נתוח מקורות הכנסה" sheetId="6" r:id="rId6"/>
    <sheet name="נתוח לקוחות" sheetId="7" r:id="rId7"/>
  </sheets>
  <definedNames>
    <definedName name="_xlnm._FilterDatabase" localSheetId="0" hidden="1">לקוחות!$A$1:$N$51</definedName>
    <definedName name="_xlnm._FilterDatabase" localSheetId="2" hidden="1">'עידוד  הצמיחה'!$A$1:$J$51</definedName>
    <definedName name="_xlnm.Criteria" localSheetId="0">לקוחות!#REF!</definedName>
    <definedName name="_xlnm.Criteria" localSheetId="2">'עידוד  הצמיחה'!#REF!</definedName>
    <definedName name="_xlnm.Extract" localSheetId="1">'דוח  נישומים'!$A$1:$C$1</definedName>
    <definedName name="_xlnm.Extract" localSheetId="0">לקוחות!#REF!</definedName>
    <definedName name="_xlnm.Extract" localSheetId="2">'עידוד  הצמיחה'!#REF!</definedName>
    <definedName name="_xlnm.Print_Area" localSheetId="0">לקוחות!$A$1:$G$14</definedName>
    <definedName name="_xlnm.Print_Area" localSheetId="2">'עידוד  הצמיחה'!$A$1:$G$14</definedName>
  </definedNames>
  <calcPr calcId="191029"/>
  <pivotCaches>
    <pivotCache cacheId="0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7" i="1" l="1"/>
  <c r="I3" i="1"/>
  <c r="L3" i="1" s="1"/>
  <c r="M3" i="1" s="1"/>
  <c r="I4" i="1"/>
  <c r="L4" i="1" s="1"/>
  <c r="M4" i="1" s="1"/>
  <c r="I5" i="1"/>
  <c r="L5" i="1" s="1"/>
  <c r="M5" i="1" s="1"/>
  <c r="I6" i="1"/>
  <c r="L6" i="1" s="1"/>
  <c r="M6" i="1" s="1"/>
  <c r="I7" i="1"/>
  <c r="L7" i="1" s="1"/>
  <c r="M7" i="1" s="1"/>
  <c r="I8" i="1"/>
  <c r="L8" i="1" s="1"/>
  <c r="M8" i="1" s="1"/>
  <c r="I9" i="1"/>
  <c r="L9" i="1" s="1"/>
  <c r="M9" i="1" s="1"/>
  <c r="I10" i="1"/>
  <c r="J10" i="1" s="1"/>
  <c r="I11" i="1"/>
  <c r="L11" i="1" s="1"/>
  <c r="M11" i="1" s="1"/>
  <c r="I12" i="1"/>
  <c r="L12" i="1" s="1"/>
  <c r="M12" i="1" s="1"/>
  <c r="I13" i="1"/>
  <c r="L13" i="1" s="1"/>
  <c r="M13" i="1" s="1"/>
  <c r="I14" i="1"/>
  <c r="L14" i="1" s="1"/>
  <c r="M14" i="1" s="1"/>
  <c r="I15" i="1"/>
  <c r="L15" i="1" s="1"/>
  <c r="M15" i="1" s="1"/>
  <c r="I16" i="1"/>
  <c r="L16" i="1" s="1"/>
  <c r="M16" i="1" s="1"/>
  <c r="I17" i="1"/>
  <c r="L17" i="1" s="1"/>
  <c r="M17" i="1" s="1"/>
  <c r="I18" i="1"/>
  <c r="L18" i="1" s="1"/>
  <c r="M18" i="1" s="1"/>
  <c r="I19" i="1"/>
  <c r="L19" i="1" s="1"/>
  <c r="M19" i="1" s="1"/>
  <c r="I20" i="1"/>
  <c r="L20" i="1" s="1"/>
  <c r="M20" i="1" s="1"/>
  <c r="I21" i="1"/>
  <c r="L21" i="1" s="1"/>
  <c r="M21" i="1" s="1"/>
  <c r="I22" i="1"/>
  <c r="L22" i="1" s="1"/>
  <c r="M22" i="1" s="1"/>
  <c r="I23" i="1"/>
  <c r="L23" i="1" s="1"/>
  <c r="M23" i="1" s="1"/>
  <c r="I24" i="1"/>
  <c r="L24" i="1" s="1"/>
  <c r="M24" i="1" s="1"/>
  <c r="I25" i="1"/>
  <c r="J25" i="1" s="1"/>
  <c r="I26" i="1"/>
  <c r="L26" i="1" s="1"/>
  <c r="M26" i="1" s="1"/>
  <c r="I27" i="1"/>
  <c r="L27" i="1" s="1"/>
  <c r="M27" i="1" s="1"/>
  <c r="I28" i="1"/>
  <c r="L28" i="1" s="1"/>
  <c r="M28" i="1" s="1"/>
  <c r="I29" i="1"/>
  <c r="L29" i="1" s="1"/>
  <c r="M29" i="1" s="1"/>
  <c r="I30" i="1"/>
  <c r="L30" i="1" s="1"/>
  <c r="M30" i="1" s="1"/>
  <c r="I31" i="1"/>
  <c r="L31" i="1" s="1"/>
  <c r="M31" i="1" s="1"/>
  <c r="I32" i="1"/>
  <c r="L32" i="1" s="1"/>
  <c r="M32" i="1" s="1"/>
  <c r="I33" i="1"/>
  <c r="L33" i="1" s="1"/>
  <c r="M33" i="1" s="1"/>
  <c r="I34" i="1"/>
  <c r="L34" i="1" s="1"/>
  <c r="M34" i="1" s="1"/>
  <c r="I35" i="1"/>
  <c r="L35" i="1" s="1"/>
  <c r="M35" i="1" s="1"/>
  <c r="I36" i="1"/>
  <c r="L36" i="1" s="1"/>
  <c r="M36" i="1" s="1"/>
  <c r="I37" i="1"/>
  <c r="L37" i="1" s="1"/>
  <c r="M37" i="1" s="1"/>
  <c r="I38" i="1"/>
  <c r="L38" i="1" s="1"/>
  <c r="M38" i="1" s="1"/>
  <c r="I39" i="1"/>
  <c r="L39" i="1" s="1"/>
  <c r="M39" i="1" s="1"/>
  <c r="I40" i="1"/>
  <c r="L40" i="1" s="1"/>
  <c r="M40" i="1" s="1"/>
  <c r="I41" i="1"/>
  <c r="L41" i="1" s="1"/>
  <c r="M41" i="1" s="1"/>
  <c r="I42" i="1"/>
  <c r="J42" i="1" s="1"/>
  <c r="I43" i="1"/>
  <c r="L43" i="1" s="1"/>
  <c r="M43" i="1" s="1"/>
  <c r="I44" i="1"/>
  <c r="L44" i="1" s="1"/>
  <c r="M44" i="1" s="1"/>
  <c r="I45" i="1"/>
  <c r="L45" i="1" s="1"/>
  <c r="M45" i="1" s="1"/>
  <c r="I46" i="1"/>
  <c r="L46" i="1" s="1"/>
  <c r="M46" i="1" s="1"/>
  <c r="I47" i="1"/>
  <c r="L47" i="1" s="1"/>
  <c r="M47" i="1" s="1"/>
  <c r="I48" i="1"/>
  <c r="L48" i="1" s="1"/>
  <c r="M48" i="1" s="1"/>
  <c r="I49" i="1"/>
  <c r="L49" i="1" s="1"/>
  <c r="M49" i="1" s="1"/>
  <c r="I50" i="1"/>
  <c r="L50" i="1" s="1"/>
  <c r="M50" i="1" s="1"/>
  <c r="I51" i="1"/>
  <c r="L51" i="1" s="1"/>
  <c r="M51" i="1" s="1"/>
  <c r="I2" i="1"/>
  <c r="L2" i="1" s="1"/>
  <c r="M2" i="1" s="1"/>
  <c r="U27" i="8"/>
  <c r="Q35" i="8" s="1"/>
  <c r="T104" i="8"/>
  <c r="T103" i="8"/>
  <c r="T102" i="8"/>
  <c r="T101" i="8"/>
  <c r="T100" i="8"/>
  <c r="T99" i="8"/>
  <c r="T106" i="8" s="1"/>
  <c r="S79" i="8"/>
  <c r="P51" i="8"/>
  <c r="M51" i="8"/>
  <c r="I51" i="8"/>
  <c r="J51" i="8" s="1"/>
  <c r="P50" i="8"/>
  <c r="J50" i="8"/>
  <c r="I50" i="8"/>
  <c r="P49" i="8"/>
  <c r="J49" i="8"/>
  <c r="I49" i="8"/>
  <c r="P48" i="8"/>
  <c r="J48" i="8"/>
  <c r="I48" i="8"/>
  <c r="P47" i="8"/>
  <c r="J47" i="8"/>
  <c r="I47" i="8"/>
  <c r="P46" i="8"/>
  <c r="I46" i="8"/>
  <c r="J46" i="8" s="1"/>
  <c r="P45" i="8"/>
  <c r="I45" i="8"/>
  <c r="J45" i="8" s="1"/>
  <c r="P44" i="8"/>
  <c r="I44" i="8"/>
  <c r="J44" i="8" s="1"/>
  <c r="P43" i="8"/>
  <c r="I43" i="8"/>
  <c r="J43" i="8" s="1"/>
  <c r="P42" i="8"/>
  <c r="J42" i="8"/>
  <c r="I42" i="8"/>
  <c r="P41" i="8"/>
  <c r="J41" i="8"/>
  <c r="I41" i="8"/>
  <c r="P40" i="8"/>
  <c r="J40" i="8"/>
  <c r="I40" i="8"/>
  <c r="P39" i="8"/>
  <c r="J39" i="8"/>
  <c r="I39" i="8"/>
  <c r="P38" i="8"/>
  <c r="I38" i="8"/>
  <c r="J38" i="8" s="1"/>
  <c r="P37" i="8"/>
  <c r="I37" i="8"/>
  <c r="J37" i="8" s="1"/>
  <c r="P36" i="8"/>
  <c r="I36" i="8"/>
  <c r="J36" i="8" s="1"/>
  <c r="P35" i="8"/>
  <c r="I35" i="8"/>
  <c r="J35" i="8" s="1"/>
  <c r="P34" i="8"/>
  <c r="J34" i="8"/>
  <c r="I34" i="8"/>
  <c r="P33" i="8"/>
  <c r="J33" i="8"/>
  <c r="I33" i="8"/>
  <c r="P32" i="8"/>
  <c r="J32" i="8"/>
  <c r="I32" i="8"/>
  <c r="P31" i="8"/>
  <c r="I31" i="8"/>
  <c r="J31" i="8" s="1"/>
  <c r="P30" i="8"/>
  <c r="I30" i="8"/>
  <c r="J30" i="8" s="1"/>
  <c r="P29" i="8"/>
  <c r="J29" i="8"/>
  <c r="I29" i="8"/>
  <c r="P28" i="8"/>
  <c r="J28" i="8"/>
  <c r="I28" i="8"/>
  <c r="P27" i="8"/>
  <c r="I27" i="8"/>
  <c r="J27" i="8" s="1"/>
  <c r="V26" i="8"/>
  <c r="V27" i="8" s="1"/>
  <c r="P26" i="8"/>
  <c r="I26" i="8"/>
  <c r="J26" i="8" s="1"/>
  <c r="V25" i="8"/>
  <c r="P25" i="8"/>
  <c r="J25" i="8"/>
  <c r="I25" i="8"/>
  <c r="P24" i="8"/>
  <c r="I24" i="8"/>
  <c r="J24" i="8" s="1"/>
  <c r="P23" i="8"/>
  <c r="J23" i="8"/>
  <c r="I23" i="8"/>
  <c r="P22" i="8"/>
  <c r="I22" i="8"/>
  <c r="J22" i="8" s="1"/>
  <c r="P21" i="8"/>
  <c r="I21" i="8"/>
  <c r="J21" i="8" s="1"/>
  <c r="P20" i="8"/>
  <c r="I20" i="8"/>
  <c r="J20" i="8" s="1"/>
  <c r="P19" i="8"/>
  <c r="I19" i="8"/>
  <c r="J19" i="8" s="1"/>
  <c r="P18" i="8"/>
  <c r="J18" i="8"/>
  <c r="I18" i="8"/>
  <c r="P17" i="8"/>
  <c r="J17" i="8"/>
  <c r="I17" i="8"/>
  <c r="P16" i="8"/>
  <c r="I16" i="8"/>
  <c r="J16" i="8" s="1"/>
  <c r="P15" i="8"/>
  <c r="J15" i="8"/>
  <c r="I15" i="8"/>
  <c r="P14" i="8"/>
  <c r="I14" i="8"/>
  <c r="J14" i="8" s="1"/>
  <c r="P13" i="8"/>
  <c r="I13" i="8"/>
  <c r="J13" i="8" s="1"/>
  <c r="P12" i="8"/>
  <c r="I12" i="8"/>
  <c r="J12" i="8" s="1"/>
  <c r="P11" i="8"/>
  <c r="I11" i="8"/>
  <c r="J11" i="8" s="1"/>
  <c r="P10" i="8"/>
  <c r="J10" i="8"/>
  <c r="I10" i="8"/>
  <c r="P9" i="8"/>
  <c r="J9" i="8"/>
  <c r="I9" i="8"/>
  <c r="P8" i="8"/>
  <c r="I8" i="8"/>
  <c r="J8" i="8" s="1"/>
  <c r="Q7" i="8"/>
  <c r="P7" i="8"/>
  <c r="J7" i="8"/>
  <c r="I7" i="8"/>
  <c r="P6" i="8"/>
  <c r="I6" i="8"/>
  <c r="J6" i="8" s="1"/>
  <c r="P5" i="8"/>
  <c r="I5" i="8"/>
  <c r="J5" i="8" s="1"/>
  <c r="P4" i="8"/>
  <c r="I4" i="8"/>
  <c r="J4" i="8" s="1"/>
  <c r="P3" i="8"/>
  <c r="I3" i="8"/>
  <c r="J3" i="8" s="1"/>
  <c r="P2" i="8"/>
  <c r="I2" i="8"/>
  <c r="J2" i="8" s="1"/>
  <c r="P51" i="1"/>
  <c r="S14" i="1"/>
  <c r="T14" i="1"/>
  <c r="S15" i="1"/>
  <c r="T15" i="1"/>
  <c r="S16" i="1"/>
  <c r="T16" i="1"/>
  <c r="S17" i="1"/>
  <c r="T17" i="1"/>
  <c r="S18" i="1"/>
  <c r="T18" i="1"/>
  <c r="S19" i="1"/>
  <c r="T19" i="1"/>
  <c r="S20" i="1"/>
  <c r="T20" i="1"/>
  <c r="S21" i="1"/>
  <c r="T21" i="1"/>
  <c r="S22" i="1"/>
  <c r="T22" i="1"/>
  <c r="S23" i="1"/>
  <c r="T23" i="1"/>
  <c r="S24" i="1"/>
  <c r="T24" i="1"/>
  <c r="S25" i="1"/>
  <c r="T25" i="1"/>
  <c r="S26" i="1"/>
  <c r="T26" i="1"/>
  <c r="S27" i="1"/>
  <c r="T27" i="1"/>
  <c r="S28" i="1"/>
  <c r="T28" i="1"/>
  <c r="S29" i="1"/>
  <c r="T29" i="1"/>
  <c r="S30" i="1"/>
  <c r="T30" i="1"/>
  <c r="S31" i="1"/>
  <c r="T31" i="1"/>
  <c r="S32" i="1"/>
  <c r="T32" i="1"/>
  <c r="S33" i="1"/>
  <c r="T33" i="1"/>
  <c r="S34" i="1"/>
  <c r="T34" i="1"/>
  <c r="S35" i="1"/>
  <c r="T35" i="1"/>
  <c r="S36" i="1"/>
  <c r="T36" i="1"/>
  <c r="S37" i="1"/>
  <c r="T37" i="1"/>
  <c r="S38" i="1"/>
  <c r="T38" i="1"/>
  <c r="S39" i="1"/>
  <c r="T39" i="1"/>
  <c r="S40" i="1"/>
  <c r="T40" i="1"/>
  <c r="S41" i="1"/>
  <c r="T41" i="1"/>
  <c r="S42" i="1"/>
  <c r="T42" i="1"/>
  <c r="S43" i="1"/>
  <c r="T43" i="1"/>
  <c r="S44" i="1"/>
  <c r="T44" i="1"/>
  <c r="S45" i="1"/>
  <c r="T45" i="1"/>
  <c r="S46" i="1"/>
  <c r="T46" i="1"/>
  <c r="S47" i="1"/>
  <c r="T47" i="1"/>
  <c r="S48" i="1"/>
  <c r="T48" i="1"/>
  <c r="S49" i="1"/>
  <c r="T49" i="1"/>
  <c r="S50" i="1"/>
  <c r="T50" i="1"/>
  <c r="S51" i="1"/>
  <c r="T51" i="1"/>
  <c r="S11" i="1"/>
  <c r="T11" i="1"/>
  <c r="S12" i="1"/>
  <c r="T12" i="1"/>
  <c r="S13" i="1"/>
  <c r="T13" i="1"/>
  <c r="T3" i="1"/>
  <c r="T4" i="1"/>
  <c r="T5" i="1"/>
  <c r="T6" i="1"/>
  <c r="T7" i="1"/>
  <c r="T8" i="1"/>
  <c r="T9" i="1"/>
  <c r="T10" i="1"/>
  <c r="S3" i="1"/>
  <c r="S4" i="1"/>
  <c r="S5" i="1"/>
  <c r="S6" i="1"/>
  <c r="S7" i="1"/>
  <c r="S8" i="1"/>
  <c r="S9" i="1"/>
  <c r="S10" i="1"/>
  <c r="T2" i="1"/>
  <c r="S2" i="1"/>
  <c r="X6" i="1"/>
  <c r="X7" i="1" s="1"/>
  <c r="X8" i="1" s="1"/>
  <c r="X9" i="1" s="1"/>
  <c r="X10" i="1" s="1"/>
  <c r="X11" i="1" s="1"/>
  <c r="X12" i="1" s="1"/>
  <c r="X13" i="1" s="1"/>
  <c r="U13" i="1" s="1"/>
  <c r="L10" i="1" l="1"/>
  <c r="M10" i="1" s="1"/>
  <c r="L42" i="1"/>
  <c r="M42" i="1" s="1"/>
  <c r="J50" i="1"/>
  <c r="J34" i="1"/>
  <c r="J26" i="1"/>
  <c r="J18" i="1"/>
  <c r="L25" i="1"/>
  <c r="M25" i="1" s="1"/>
  <c r="J49" i="1"/>
  <c r="J41" i="1"/>
  <c r="J33" i="1"/>
  <c r="J17" i="1"/>
  <c r="J9" i="1"/>
  <c r="J48" i="1"/>
  <c r="J40" i="1"/>
  <c r="J32" i="1"/>
  <c r="J24" i="1"/>
  <c r="J16" i="1"/>
  <c r="J8" i="1"/>
  <c r="J47" i="1"/>
  <c r="J39" i="1"/>
  <c r="J31" i="1"/>
  <c r="J23" i="1"/>
  <c r="J15" i="1"/>
  <c r="J7" i="1"/>
  <c r="J46" i="1"/>
  <c r="J38" i="1"/>
  <c r="J30" i="1"/>
  <c r="J22" i="1"/>
  <c r="J14" i="1"/>
  <c r="J6" i="1"/>
  <c r="J45" i="1"/>
  <c r="J37" i="1"/>
  <c r="J29" i="1"/>
  <c r="J21" i="1"/>
  <c r="J13" i="1"/>
  <c r="J5" i="1"/>
  <c r="J2" i="1"/>
  <c r="J44" i="1"/>
  <c r="J36" i="1"/>
  <c r="J28" i="1"/>
  <c r="J20" i="1"/>
  <c r="J12" i="1"/>
  <c r="J4" i="1"/>
  <c r="J51" i="1"/>
  <c r="J43" i="1"/>
  <c r="J35" i="1"/>
  <c r="J27" i="1"/>
  <c r="J19" i="1"/>
  <c r="J11" i="1"/>
  <c r="J3" i="1"/>
  <c r="U28" i="1"/>
  <c r="O28" i="1" s="1"/>
  <c r="P28" i="1" s="1"/>
  <c r="O13" i="1"/>
  <c r="P13" i="1" s="1"/>
  <c r="U20" i="1"/>
  <c r="O20" i="1" s="1"/>
  <c r="P20" i="1" s="1"/>
  <c r="U49" i="1"/>
  <c r="O49" i="1" s="1"/>
  <c r="P49" i="1" s="1"/>
  <c r="U36" i="1"/>
  <c r="O36" i="1" s="1"/>
  <c r="P36" i="1" s="1"/>
  <c r="U41" i="1"/>
  <c r="O41" i="1" s="1"/>
  <c r="P41" i="1" s="1"/>
  <c r="U44" i="1"/>
  <c r="O44" i="1" s="1"/>
  <c r="P44" i="1" s="1"/>
  <c r="U33" i="1"/>
  <c r="O33" i="1" s="1"/>
  <c r="P33" i="1" s="1"/>
  <c r="Q9" i="8"/>
  <c r="Q19" i="8"/>
  <c r="U28" i="8"/>
  <c r="U29" i="8" s="1"/>
  <c r="U30" i="8" s="1"/>
  <c r="R9" i="8"/>
  <c r="H9" i="8"/>
  <c r="K9" i="8" s="1"/>
  <c r="V28" i="8"/>
  <c r="H7" i="8"/>
  <c r="R7" i="8"/>
  <c r="L7" i="8" s="1"/>
  <c r="M7" i="8" s="1"/>
  <c r="R35" i="8"/>
  <c r="L35" i="8" s="1"/>
  <c r="M35" i="8" s="1"/>
  <c r="H35" i="8"/>
  <c r="K35" i="8" s="1"/>
  <c r="R19" i="8"/>
  <c r="H19" i="8"/>
  <c r="K19" i="8" s="1"/>
  <c r="U46" i="1"/>
  <c r="O46" i="1" s="1"/>
  <c r="P46" i="1" s="1"/>
  <c r="U19" i="1"/>
  <c r="O19" i="1" s="1"/>
  <c r="P19" i="1" s="1"/>
  <c r="U48" i="1"/>
  <c r="O48" i="1" s="1"/>
  <c r="P48" i="1" s="1"/>
  <c r="U50" i="1"/>
  <c r="O50" i="1" s="1"/>
  <c r="P50" i="1" s="1"/>
  <c r="U42" i="1"/>
  <c r="O42" i="1" s="1"/>
  <c r="P42" i="1" s="1"/>
  <c r="U34" i="1"/>
  <c r="O34" i="1" s="1"/>
  <c r="P34" i="1" s="1"/>
  <c r="U26" i="1"/>
  <c r="O26" i="1" s="1"/>
  <c r="P26" i="1" s="1"/>
  <c r="U18" i="1"/>
  <c r="O18" i="1" s="1"/>
  <c r="P18" i="1" s="1"/>
  <c r="U47" i="1"/>
  <c r="O47" i="1" s="1"/>
  <c r="P47" i="1" s="1"/>
  <c r="U39" i="1"/>
  <c r="O39" i="1" s="1"/>
  <c r="P39" i="1" s="1"/>
  <c r="U31" i="1"/>
  <c r="O31" i="1" s="1"/>
  <c r="P31" i="1" s="1"/>
  <c r="U23" i="1"/>
  <c r="O23" i="1" s="1"/>
  <c r="P23" i="1" s="1"/>
  <c r="U15" i="1"/>
  <c r="O15" i="1" s="1"/>
  <c r="P15" i="1" s="1"/>
  <c r="U25" i="1"/>
  <c r="O25" i="1" s="1"/>
  <c r="P25" i="1" s="1"/>
  <c r="U17" i="1"/>
  <c r="O17" i="1" s="1"/>
  <c r="P17" i="1" s="1"/>
  <c r="U30" i="1"/>
  <c r="O30" i="1" s="1"/>
  <c r="P30" i="1" s="1"/>
  <c r="U22" i="1"/>
  <c r="O22" i="1" s="1"/>
  <c r="P22" i="1" s="1"/>
  <c r="U14" i="1"/>
  <c r="O14" i="1" s="1"/>
  <c r="P14" i="1" s="1"/>
  <c r="U51" i="1"/>
  <c r="U43" i="1"/>
  <c r="O43" i="1" s="1"/>
  <c r="P43" i="1" s="1"/>
  <c r="U27" i="1"/>
  <c r="O27" i="1" s="1"/>
  <c r="P27" i="1" s="1"/>
  <c r="U24" i="1"/>
  <c r="O24" i="1" s="1"/>
  <c r="P24" i="1" s="1"/>
  <c r="U16" i="1"/>
  <c r="O16" i="1" s="1"/>
  <c r="P16" i="1" s="1"/>
  <c r="U40" i="1"/>
  <c r="O40" i="1" s="1"/>
  <c r="P40" i="1" s="1"/>
  <c r="U32" i="1"/>
  <c r="O32" i="1" s="1"/>
  <c r="P32" i="1" s="1"/>
  <c r="U45" i="1"/>
  <c r="O45" i="1" s="1"/>
  <c r="P45" i="1" s="1"/>
  <c r="U38" i="1"/>
  <c r="O38" i="1" s="1"/>
  <c r="P38" i="1" s="1"/>
  <c r="U35" i="1"/>
  <c r="O35" i="1" s="1"/>
  <c r="P35" i="1" s="1"/>
  <c r="U37" i="1"/>
  <c r="O37" i="1" s="1"/>
  <c r="P37" i="1" s="1"/>
  <c r="U29" i="1"/>
  <c r="O29" i="1" s="1"/>
  <c r="P29" i="1" s="1"/>
  <c r="U21" i="1"/>
  <c r="O21" i="1" s="1"/>
  <c r="P21" i="1" s="1"/>
  <c r="U2" i="1"/>
  <c r="O2" i="1" s="1"/>
  <c r="P2" i="1" s="1"/>
  <c r="U10" i="1"/>
  <c r="O10" i="1" s="1"/>
  <c r="P10" i="1" s="1"/>
  <c r="U8" i="1"/>
  <c r="O8" i="1" s="1"/>
  <c r="P8" i="1" s="1"/>
  <c r="U12" i="1"/>
  <c r="O12" i="1" s="1"/>
  <c r="P12" i="1" s="1"/>
  <c r="U7" i="1"/>
  <c r="O7" i="1" s="1"/>
  <c r="P7" i="1" s="1"/>
  <c r="U6" i="1"/>
  <c r="O6" i="1" s="1"/>
  <c r="P6" i="1" s="1"/>
  <c r="U11" i="1"/>
  <c r="O11" i="1" s="1"/>
  <c r="P11" i="1" s="1"/>
  <c r="U4" i="1"/>
  <c r="O4" i="1" s="1"/>
  <c r="P4" i="1" s="1"/>
  <c r="U9" i="1"/>
  <c r="O9" i="1" s="1"/>
  <c r="P9" i="1" s="1"/>
  <c r="U5" i="1"/>
  <c r="O5" i="1" s="1"/>
  <c r="P5" i="1" s="1"/>
  <c r="U3" i="1"/>
  <c r="O3" i="1" s="1"/>
  <c r="P3" i="1" s="1"/>
  <c r="N9" i="7"/>
  <c r="N6" i="7"/>
  <c r="W100" i="1"/>
  <c r="W101" i="1"/>
  <c r="W102" i="1"/>
  <c r="W103" i="1"/>
  <c r="W104" i="1"/>
  <c r="W99" i="1"/>
  <c r="V79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2" i="1"/>
  <c r="Q37" i="8" l="1"/>
  <c r="L19" i="8"/>
  <c r="M19" i="8" s="1"/>
  <c r="V29" i="8"/>
  <c r="R51" i="8" s="1"/>
  <c r="L9" i="8"/>
  <c r="M9" i="8" s="1"/>
  <c r="Q51" i="8"/>
  <c r="Q34" i="8"/>
  <c r="Q33" i="8"/>
  <c r="U31" i="8"/>
  <c r="Q43" i="8"/>
  <c r="Q25" i="8"/>
  <c r="Q26" i="8"/>
  <c r="Q38" i="8"/>
  <c r="K7" i="8"/>
  <c r="W106" i="1"/>
  <c r="H9" i="1"/>
  <c r="H19" i="1"/>
  <c r="H35" i="1"/>
  <c r="H7" i="1"/>
  <c r="K7" i="1" s="1"/>
  <c r="K19" i="1" l="1"/>
  <c r="K9" i="1"/>
  <c r="K35" i="1"/>
  <c r="H51" i="8"/>
  <c r="K51" i="8" s="1"/>
  <c r="R37" i="8"/>
  <c r="L37" i="8" s="1"/>
  <c r="M37" i="8" s="1"/>
  <c r="H37" i="8"/>
  <c r="K37" i="8" s="1"/>
  <c r="V30" i="8"/>
  <c r="H34" i="8" s="1"/>
  <c r="K34" i="8" s="1"/>
  <c r="Q32" i="8"/>
  <c r="Q14" i="8"/>
  <c r="Q15" i="8"/>
  <c r="Q27" i="8"/>
  <c r="Q5" i="8"/>
  <c r="U32" i="8"/>
  <c r="Q30" i="8"/>
  <c r="R34" i="8"/>
  <c r="L34" i="8" s="1"/>
  <c r="M34" i="8" s="1"/>
  <c r="H51" i="1"/>
  <c r="H37" i="1"/>
  <c r="K37" i="1" l="1"/>
  <c r="K51" i="1"/>
  <c r="R38" i="8"/>
  <c r="L38" i="8" s="1"/>
  <c r="M38" i="8" s="1"/>
  <c r="H26" i="8"/>
  <c r="K26" i="8" s="1"/>
  <c r="R25" i="8"/>
  <c r="L25" i="8" s="1"/>
  <c r="M25" i="8" s="1"/>
  <c r="V31" i="8"/>
  <c r="V32" i="8" s="1"/>
  <c r="H38" i="8"/>
  <c r="K38" i="8" s="1"/>
  <c r="H25" i="8"/>
  <c r="K25" i="8" s="1"/>
  <c r="R26" i="8"/>
  <c r="L26" i="8" s="1"/>
  <c r="M26" i="8" s="1"/>
  <c r="H33" i="8"/>
  <c r="K33" i="8" s="1"/>
  <c r="H43" i="8"/>
  <c r="K43" i="8" s="1"/>
  <c r="R33" i="8"/>
  <c r="L33" i="8" s="1"/>
  <c r="M33" i="8" s="1"/>
  <c r="R43" i="8"/>
  <c r="L43" i="8" s="1"/>
  <c r="M43" i="8" s="1"/>
  <c r="Q21" i="8"/>
  <c r="Q31" i="8"/>
  <c r="Q8" i="8"/>
  <c r="Q3" i="8"/>
  <c r="Q22" i="8"/>
  <c r="Q50" i="8"/>
  <c r="Q48" i="8"/>
  <c r="Q46" i="8"/>
  <c r="Q41" i="8"/>
  <c r="Q39" i="8"/>
  <c r="Q23" i="8"/>
  <c r="Q18" i="8"/>
  <c r="Q16" i="8"/>
  <c r="Q11" i="8"/>
  <c r="Q4" i="8"/>
  <c r="Q36" i="8"/>
  <c r="Q20" i="8"/>
  <c r="Q13" i="8"/>
  <c r="Q6" i="8"/>
  <c r="Q29" i="8"/>
  <c r="Q10" i="8"/>
  <c r="Q17" i="8"/>
  <c r="Q24" i="8"/>
  <c r="Q45" i="8"/>
  <c r="Q49" i="8"/>
  <c r="Q47" i="8"/>
  <c r="Q42" i="8"/>
  <c r="Q40" i="8"/>
  <c r="Q44" i="8"/>
  <c r="Q2" i="8"/>
  <c r="Q28" i="8"/>
  <c r="Q12" i="8"/>
  <c r="R14" i="8"/>
  <c r="L14" i="8" s="1"/>
  <c r="M14" i="8" s="1"/>
  <c r="R27" i="8"/>
  <c r="L27" i="8" s="1"/>
  <c r="M27" i="8" s="1"/>
  <c r="H38" i="1"/>
  <c r="H25" i="1"/>
  <c r="H33" i="1"/>
  <c r="H26" i="1"/>
  <c r="K26" i="1" s="1"/>
  <c r="H34" i="1"/>
  <c r="H43" i="1"/>
  <c r="K43" i="1" l="1"/>
  <c r="K25" i="1"/>
  <c r="K34" i="1"/>
  <c r="K33" i="1"/>
  <c r="K38" i="1"/>
  <c r="H15" i="8"/>
  <c r="K15" i="8" s="1"/>
  <c r="H14" i="8"/>
  <c r="K14" i="8" s="1"/>
  <c r="R5" i="8"/>
  <c r="L5" i="8" s="1"/>
  <c r="M5" i="8" s="1"/>
  <c r="H5" i="8"/>
  <c r="K5" i="8" s="1"/>
  <c r="R32" i="8"/>
  <c r="L32" i="8" s="1"/>
  <c r="M32" i="8" s="1"/>
  <c r="R15" i="8"/>
  <c r="L15" i="8" s="1"/>
  <c r="M15" i="8" s="1"/>
  <c r="H32" i="8"/>
  <c r="K32" i="8" s="1"/>
  <c r="H30" i="8"/>
  <c r="K30" i="8" s="1"/>
  <c r="H27" i="8"/>
  <c r="K27" i="8" s="1"/>
  <c r="R30" i="8"/>
  <c r="L30" i="8" s="1"/>
  <c r="M30" i="8" s="1"/>
  <c r="R50" i="8"/>
  <c r="L50" i="8" s="1"/>
  <c r="M50" i="8" s="1"/>
  <c r="H50" i="8"/>
  <c r="K50" i="8" s="1"/>
  <c r="R42" i="8"/>
  <c r="L42" i="8" s="1"/>
  <c r="M42" i="8" s="1"/>
  <c r="H42" i="8"/>
  <c r="K42" i="8" s="1"/>
  <c r="R18" i="8"/>
  <c r="L18" i="8" s="1"/>
  <c r="M18" i="8" s="1"/>
  <c r="H18" i="8"/>
  <c r="K18" i="8" s="1"/>
  <c r="R10" i="8"/>
  <c r="L10" i="8" s="1"/>
  <c r="M10" i="8" s="1"/>
  <c r="H10" i="8"/>
  <c r="R2" i="8"/>
  <c r="L2" i="8" s="1"/>
  <c r="M2" i="8" s="1"/>
  <c r="H2" i="8"/>
  <c r="H6" i="8"/>
  <c r="K6" i="8" s="1"/>
  <c r="R13" i="8"/>
  <c r="L13" i="8" s="1"/>
  <c r="M13" i="8" s="1"/>
  <c r="R49" i="8"/>
  <c r="L49" i="8" s="1"/>
  <c r="M49" i="8" s="1"/>
  <c r="H49" i="8"/>
  <c r="K49" i="8" s="1"/>
  <c r="R41" i="8"/>
  <c r="L41" i="8" s="1"/>
  <c r="M41" i="8" s="1"/>
  <c r="H41" i="8"/>
  <c r="R29" i="8"/>
  <c r="L29" i="8" s="1"/>
  <c r="M29" i="8" s="1"/>
  <c r="H29" i="8"/>
  <c r="K29" i="8" s="1"/>
  <c r="R17" i="8"/>
  <c r="L17" i="8" s="1"/>
  <c r="M17" i="8" s="1"/>
  <c r="H17" i="8"/>
  <c r="K17" i="8" s="1"/>
  <c r="R6" i="8"/>
  <c r="L6" i="8" s="1"/>
  <c r="M6" i="8" s="1"/>
  <c r="R21" i="8"/>
  <c r="L21" i="8" s="1"/>
  <c r="M21" i="8" s="1"/>
  <c r="H13" i="8"/>
  <c r="K13" i="8" s="1"/>
  <c r="H44" i="8"/>
  <c r="K44" i="8" s="1"/>
  <c r="R36" i="8"/>
  <c r="L36" i="8" s="1"/>
  <c r="M36" i="8" s="1"/>
  <c r="H20" i="8"/>
  <c r="K20" i="8" s="1"/>
  <c r="R12" i="8"/>
  <c r="L12" i="8" s="1"/>
  <c r="M12" i="8" s="1"/>
  <c r="H4" i="8"/>
  <c r="R48" i="8"/>
  <c r="L48" i="8" s="1"/>
  <c r="M48" i="8" s="1"/>
  <c r="H48" i="8"/>
  <c r="K48" i="8" s="1"/>
  <c r="R40" i="8"/>
  <c r="L40" i="8" s="1"/>
  <c r="M40" i="8" s="1"/>
  <c r="H40" i="8"/>
  <c r="K40" i="8" s="1"/>
  <c r="R24" i="8"/>
  <c r="L24" i="8" s="1"/>
  <c r="M24" i="8" s="1"/>
  <c r="H24" i="8"/>
  <c r="K24" i="8" s="1"/>
  <c r="R16" i="8"/>
  <c r="L16" i="8" s="1"/>
  <c r="M16" i="8" s="1"/>
  <c r="H16" i="8"/>
  <c r="K16" i="8" s="1"/>
  <c r="R8" i="8"/>
  <c r="L8" i="8" s="1"/>
  <c r="M8" i="8" s="1"/>
  <c r="H8" i="8"/>
  <c r="K8" i="8" s="1"/>
  <c r="H46" i="8"/>
  <c r="K46" i="8" s="1"/>
  <c r="R22" i="8"/>
  <c r="L22" i="8" s="1"/>
  <c r="M22" i="8" s="1"/>
  <c r="H45" i="8"/>
  <c r="K45" i="8" s="1"/>
  <c r="R31" i="8"/>
  <c r="L31" i="8" s="1"/>
  <c r="M31" i="8" s="1"/>
  <c r="R47" i="8"/>
  <c r="L47" i="8" s="1"/>
  <c r="M47" i="8" s="1"/>
  <c r="H47" i="8"/>
  <c r="K47" i="8" s="1"/>
  <c r="R39" i="8"/>
  <c r="L39" i="8" s="1"/>
  <c r="M39" i="8" s="1"/>
  <c r="H39" i="8"/>
  <c r="K39" i="8" s="1"/>
  <c r="R28" i="8"/>
  <c r="L28" i="8" s="1"/>
  <c r="M28" i="8" s="1"/>
  <c r="H28" i="8"/>
  <c r="K28" i="8" s="1"/>
  <c r="R23" i="8"/>
  <c r="L23" i="8" s="1"/>
  <c r="M23" i="8" s="1"/>
  <c r="H23" i="8"/>
  <c r="K23" i="8" s="1"/>
  <c r="R46" i="8"/>
  <c r="L46" i="8" s="1"/>
  <c r="M46" i="8" s="1"/>
  <c r="H22" i="8"/>
  <c r="K22" i="8" s="1"/>
  <c r="R45" i="8"/>
  <c r="L45" i="8" s="1"/>
  <c r="M45" i="8" s="1"/>
  <c r="H31" i="8"/>
  <c r="K31" i="8" s="1"/>
  <c r="H21" i="8"/>
  <c r="K21" i="8" s="1"/>
  <c r="R44" i="8"/>
  <c r="L44" i="8" s="1"/>
  <c r="M44" i="8" s="1"/>
  <c r="H36" i="8"/>
  <c r="K36" i="8" s="1"/>
  <c r="R20" i="8"/>
  <c r="L20" i="8" s="1"/>
  <c r="M20" i="8" s="1"/>
  <c r="H12" i="8"/>
  <c r="K12" i="8" s="1"/>
  <c r="R4" i="8"/>
  <c r="L4" i="8" s="1"/>
  <c r="M4" i="8" s="1"/>
  <c r="R11" i="8"/>
  <c r="L11" i="8" s="1"/>
  <c r="M11" i="8" s="1"/>
  <c r="H11" i="8"/>
  <c r="K11" i="8" s="1"/>
  <c r="R3" i="8"/>
  <c r="L3" i="8" s="1"/>
  <c r="M3" i="8" s="1"/>
  <c r="H3" i="8"/>
  <c r="H14" i="1"/>
  <c r="H30" i="1"/>
  <c r="H5" i="1"/>
  <c r="K5" i="1" s="1"/>
  <c r="H32" i="1"/>
  <c r="H15" i="1"/>
  <c r="H27" i="1"/>
  <c r="K14" i="1" l="1"/>
  <c r="K27" i="1"/>
  <c r="K15" i="1"/>
  <c r="K30" i="1"/>
  <c r="K32" i="1"/>
  <c r="T20" i="8"/>
  <c r="S102" i="8"/>
  <c r="T88" i="8"/>
  <c r="K3" i="8"/>
  <c r="S78" i="8"/>
  <c r="K41" i="8"/>
  <c r="S104" i="8"/>
  <c r="K10" i="8"/>
  <c r="S103" i="8"/>
  <c r="S101" i="8"/>
  <c r="K4" i="8"/>
  <c r="S100" i="8"/>
  <c r="S99" i="8"/>
  <c r="K2" i="8"/>
  <c r="H8" i="1"/>
  <c r="H48" i="1"/>
  <c r="H6" i="1"/>
  <c r="H22" i="1"/>
  <c r="H46" i="1"/>
  <c r="H40" i="1"/>
  <c r="H17" i="1"/>
  <c r="H41" i="1"/>
  <c r="K41" i="1" s="1"/>
  <c r="H49" i="1"/>
  <c r="H12" i="1"/>
  <c r="H44" i="1"/>
  <c r="H29" i="1"/>
  <c r="H45" i="1"/>
  <c r="H16" i="1"/>
  <c r="H10" i="1"/>
  <c r="K10" i="1" s="1"/>
  <c r="H18" i="1"/>
  <c r="H42" i="1"/>
  <c r="H50" i="1"/>
  <c r="H36" i="1"/>
  <c r="H21" i="1"/>
  <c r="H31" i="1"/>
  <c r="H47" i="1"/>
  <c r="H3" i="1"/>
  <c r="H11" i="1"/>
  <c r="H20" i="1"/>
  <c r="H28" i="1"/>
  <c r="H2" i="1"/>
  <c r="K2" i="1" s="1"/>
  <c r="H13" i="1"/>
  <c r="H4" i="1"/>
  <c r="K4" i="1" s="1"/>
  <c r="H23" i="1"/>
  <c r="H39" i="1"/>
  <c r="H24" i="1"/>
  <c r="K31" i="1" l="1"/>
  <c r="K21" i="1"/>
  <c r="K44" i="1"/>
  <c r="K39" i="1"/>
  <c r="K3" i="1"/>
  <c r="G72" i="1"/>
  <c r="K17" i="1"/>
  <c r="K23" i="1"/>
  <c r="K47" i="1"/>
  <c r="K16" i="1"/>
  <c r="K40" i="1"/>
  <c r="K45" i="1"/>
  <c r="K13" i="1"/>
  <c r="K29" i="1"/>
  <c r="K36" i="1"/>
  <c r="K6" i="1"/>
  <c r="K28" i="1"/>
  <c r="K50" i="1"/>
  <c r="K12" i="1"/>
  <c r="K48" i="1"/>
  <c r="K20" i="1"/>
  <c r="K42" i="1"/>
  <c r="K49" i="1"/>
  <c r="K8" i="1"/>
  <c r="K24" i="1"/>
  <c r="K11" i="1"/>
  <c r="I83" i="1" s="1"/>
  <c r="K18" i="1"/>
  <c r="K46" i="1"/>
  <c r="K22" i="1"/>
  <c r="V100" i="1"/>
  <c r="V99" i="1"/>
  <c r="V102" i="1"/>
  <c r="W88" i="1"/>
  <c r="V101" i="1"/>
  <c r="V104" i="1"/>
  <c r="V78" i="1"/>
  <c r="V103" i="1"/>
  <c r="K52" i="1" l="1"/>
</calcChain>
</file>

<file path=xl/sharedStrings.xml><?xml version="1.0" encoding="utf-8"?>
<sst xmlns="http://schemas.openxmlformats.org/spreadsheetml/2006/main" count="644" uniqueCount="194">
  <si>
    <t>קוד לקוח</t>
  </si>
  <si>
    <t>שם פרטי לקוח</t>
  </si>
  <si>
    <t>שם משפחה לקוח</t>
  </si>
  <si>
    <t>עיר מגורים לקוח</t>
  </si>
  <si>
    <t>תאריך התקשרות</t>
  </si>
  <si>
    <t>לירוי</t>
  </si>
  <si>
    <t>זינה</t>
  </si>
  <si>
    <t>אביתר</t>
  </si>
  <si>
    <t>שמעון</t>
  </si>
  <si>
    <t>אדל</t>
  </si>
  <si>
    <t>נעמה</t>
  </si>
  <si>
    <t>נויה</t>
  </si>
  <si>
    <t>עילאי</t>
  </si>
  <si>
    <t>גור</t>
  </si>
  <si>
    <t>יותם</t>
  </si>
  <si>
    <t>רות</t>
  </si>
  <si>
    <t>אמיר</t>
  </si>
  <si>
    <t>מוחמד</t>
  </si>
  <si>
    <t>תמר</t>
  </si>
  <si>
    <t>ראובן</t>
  </si>
  <si>
    <t>נועה</t>
  </si>
  <si>
    <t>אדם</t>
  </si>
  <si>
    <t>רחל</t>
  </si>
  <si>
    <t>שגיא</t>
  </si>
  <si>
    <t>שאם</t>
  </si>
  <si>
    <t>מיכל</t>
  </si>
  <si>
    <t>רפאל</t>
  </si>
  <si>
    <t>מג'ד</t>
  </si>
  <si>
    <t>אלמא</t>
  </si>
  <si>
    <t>עמית</t>
  </si>
  <si>
    <t>אלון</t>
  </si>
  <si>
    <t>נהוראי</t>
  </si>
  <si>
    <t>עלמה</t>
  </si>
  <si>
    <t>נחמן</t>
  </si>
  <si>
    <t>איילה</t>
  </si>
  <si>
    <t>אורין</t>
  </si>
  <si>
    <t>שמואל</t>
  </si>
  <si>
    <t>יהונתן</t>
  </si>
  <si>
    <t>הודיה</t>
  </si>
  <si>
    <t>עמליה</t>
  </si>
  <si>
    <t>ליהי</t>
  </si>
  <si>
    <t>עבד</t>
  </si>
  <si>
    <t>אריאל</t>
  </si>
  <si>
    <t>עדי</t>
  </si>
  <si>
    <t>ליאור</t>
  </si>
  <si>
    <t>דניאל</t>
  </si>
  <si>
    <t>שלו</t>
  </si>
  <si>
    <t>דניאלה</t>
  </si>
  <si>
    <t>לוי</t>
  </si>
  <si>
    <t>כהן</t>
  </si>
  <si>
    <t>עמאש</t>
  </si>
  <si>
    <t>חלפון</t>
  </si>
  <si>
    <t>חסן</t>
  </si>
  <si>
    <t>אברמוב</t>
  </si>
  <si>
    <t>מור</t>
  </si>
  <si>
    <t>שחר</t>
  </si>
  <si>
    <t>רחמים</t>
  </si>
  <si>
    <t>איסקוב</t>
  </si>
  <si>
    <t>פלדמן</t>
  </si>
  <si>
    <t>הראל</t>
  </si>
  <si>
    <t>חדד</t>
  </si>
  <si>
    <t>סבח</t>
  </si>
  <si>
    <t>ג'בארין</t>
  </si>
  <si>
    <t>אטיאס</t>
  </si>
  <si>
    <t>דנינו</t>
  </si>
  <si>
    <t>עזרן</t>
  </si>
  <si>
    <t>סואעד</t>
  </si>
  <si>
    <t>בן עזרא</t>
  </si>
  <si>
    <t>אברהם</t>
  </si>
  <si>
    <t>ארביב</t>
  </si>
  <si>
    <t>קאסם</t>
  </si>
  <si>
    <t>ברזילי</t>
  </si>
  <si>
    <t>שרביט</t>
  </si>
  <si>
    <t>שטיין</t>
  </si>
  <si>
    <t>הררי</t>
  </si>
  <si>
    <t>חדאד</t>
  </si>
  <si>
    <t>קרן</t>
  </si>
  <si>
    <t>טאהא</t>
  </si>
  <si>
    <t>מחמוד</t>
  </si>
  <si>
    <t>אבו ריא</t>
  </si>
  <si>
    <t>זכריה</t>
  </si>
  <si>
    <t>מדר</t>
  </si>
  <si>
    <t>דמרי</t>
  </si>
  <si>
    <t>מזרחי</t>
  </si>
  <si>
    <t>סבג</t>
  </si>
  <si>
    <t>גרוס</t>
  </si>
  <si>
    <t>ביטון</t>
  </si>
  <si>
    <t>נוימן</t>
  </si>
  <si>
    <t>חיים</t>
  </si>
  <si>
    <t>סויסה</t>
  </si>
  <si>
    <t>מרעי</t>
  </si>
  <si>
    <t>מירון</t>
  </si>
  <si>
    <t>ברקת</t>
  </si>
  <si>
    <t>פקיעין חדשה</t>
  </si>
  <si>
    <t>העוגן</t>
  </si>
  <si>
    <t>ורד יריחו</t>
  </si>
  <si>
    <t>הסוללים</t>
  </si>
  <si>
    <t>שומרה</t>
  </si>
  <si>
    <t>סגולה</t>
  </si>
  <si>
    <t>צורית</t>
  </si>
  <si>
    <t>אודם</t>
  </si>
  <si>
    <t>אל סייד</t>
  </si>
  <si>
    <t>בית חנניה</t>
  </si>
  <si>
    <t>זוהר</t>
  </si>
  <si>
    <t>פוריה - נווה עובד</t>
  </si>
  <si>
    <t>מעונה</t>
  </si>
  <si>
    <t>צפרירים</t>
  </si>
  <si>
    <t>עספיא</t>
  </si>
  <si>
    <t>גבעת כ"ח</t>
  </si>
  <si>
    <t>דוב"ב</t>
  </si>
  <si>
    <t>פוריידיס</t>
  </si>
  <si>
    <t>כסלון</t>
  </si>
  <si>
    <t>נתיב השיירה</t>
  </si>
  <si>
    <t>תלמי אליהו</t>
  </si>
  <si>
    <t>חשמונאים</t>
  </si>
  <si>
    <t>הר אדר</t>
  </si>
  <si>
    <t>טל-אל</t>
  </si>
  <si>
    <t>משמר העמק</t>
  </si>
  <si>
    <t>נירן</t>
  </si>
  <si>
    <t>עין השופט</t>
  </si>
  <si>
    <t>אביחיל</t>
  </si>
  <si>
    <t>נטע</t>
  </si>
  <si>
    <t>כפר מסריק</t>
  </si>
  <si>
    <t>עזר</t>
  </si>
  <si>
    <t>גונן</t>
  </si>
  <si>
    <t>שתולים</t>
  </si>
  <si>
    <t>עמוקה</t>
  </si>
  <si>
    <t>הגשת דוחות</t>
  </si>
  <si>
    <t>ביקורת שנתית</t>
  </si>
  <si>
    <t>ייעוץ פיננסי</t>
  </si>
  <si>
    <t>הכנת משכורות</t>
  </si>
  <si>
    <t>מיסוי</t>
  </si>
  <si>
    <t>הכנסות מצטברות</t>
  </si>
  <si>
    <t>סיבת התקשרות</t>
  </si>
  <si>
    <t>מרחביה</t>
  </si>
  <si>
    <t>פעילות</t>
  </si>
  <si>
    <t>מחיר</t>
  </si>
  <si>
    <t>הכנסה מצטברת נטו</t>
  </si>
  <si>
    <t>מדרגה</t>
  </si>
  <si>
    <t>מס</t>
  </si>
  <si>
    <t>מצטבר</t>
  </si>
  <si>
    <t>סיום התקשרות</t>
  </si>
  <si>
    <t>יום סיום התקשרות</t>
  </si>
  <si>
    <t>Friday</t>
  </si>
  <si>
    <t>Saturday</t>
  </si>
  <si>
    <t>מועד ההתקשרות יחל בתחילת השבוע</t>
  </si>
  <si>
    <t>אנא פנה בדחיפות לחברה</t>
  </si>
  <si>
    <t>סך ההכנסה נטו מהלקוחות שעונים לתנאים :</t>
  </si>
  <si>
    <t>מספר הלקוחחות שעונים לתנאים :</t>
  </si>
  <si>
    <t>&lt;1/1/2023</t>
  </si>
  <si>
    <t>סה"כ הכנסה נטו בדולים לעומדים בתנאים :</t>
  </si>
  <si>
    <t>סה"כ הכנסה נטו מצטברת ב-$</t>
  </si>
  <si>
    <t>שער הדולר</t>
  </si>
  <si>
    <t>סה"כ הכנזה נטו</t>
  </si>
  <si>
    <t>כמות לקוחות</t>
  </si>
  <si>
    <t>סיבת התקשרות מינימלית</t>
  </si>
  <si>
    <t>תוויות שורה</t>
  </si>
  <si>
    <t>סכום כולל</t>
  </si>
  <si>
    <t>סה"כ הכנסה מצטברת</t>
  </si>
  <si>
    <t>מספר לקוחות</t>
  </si>
  <si>
    <t>(הכל)</t>
  </si>
  <si>
    <t>סה"כהכנסה מצטברת נטו</t>
  </si>
  <si>
    <t>מספר התקשרויות</t>
  </si>
  <si>
    <t>שם משפחה של הלקוח בעל היקף כספי מכסימלי (סה"כ הכנסה נטו מכסימלית)</t>
  </si>
  <si>
    <t>שם משפחה של הלקוח בעלמספר ההתקשרויות במכסימלי</t>
  </si>
  <si>
    <t>X1</t>
  </si>
  <si>
    <t>X2</t>
  </si>
  <si>
    <t>X3</t>
  </si>
  <si>
    <t>(F2-X1)*X2+X3</t>
  </si>
  <si>
    <t>המס עצמו</t>
  </si>
  <si>
    <t>הכנסה נטו</t>
  </si>
  <si>
    <t xml:space="preserve">המילים "מה צריך להיות" אומרות תמיד שמדובר </t>
  </si>
  <si>
    <t xml:space="preserve">רק בחתירה למטרה. </t>
  </si>
  <si>
    <t>חוק</t>
  </si>
  <si>
    <t xml:space="preserve">מה שכתוב אחרי "מה צריכים להיות" </t>
  </si>
  <si>
    <t xml:space="preserve">יופיע ב "על ידי שינוי התא" </t>
  </si>
  <si>
    <t>תא עזר שישמור על ההפרש קבוע בין המדרגות</t>
  </si>
  <si>
    <t>סך הכנסה נטו</t>
  </si>
  <si>
    <t>סעיף ב</t>
  </si>
  <si>
    <t>שבת</t>
  </si>
  <si>
    <t>יום שישי</t>
  </si>
  <si>
    <t>המועד יחול בתחילת השבוע</t>
  </si>
  <si>
    <t>אנא פנה דחוף לחידוש</t>
  </si>
  <si>
    <t xml:space="preserve">שאלה 3 א </t>
  </si>
  <si>
    <t>שאלה 3 ב</t>
  </si>
  <si>
    <t>&lt;01/01/2023</t>
  </si>
  <si>
    <t xml:space="preserve">תוצאת 3 ב </t>
  </si>
  <si>
    <t>סעיף 3 ד</t>
  </si>
  <si>
    <t>סה מצטברת בדולר</t>
  </si>
  <si>
    <t>DSUM</t>
  </si>
  <si>
    <t>נוסחה:</t>
  </si>
  <si>
    <t>שאלה 3 סעיף ה</t>
  </si>
  <si>
    <t xml:space="preserve">שאלה 3 ג </t>
  </si>
  <si>
    <t>שאלה 2 סעיף 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</si>
</sst>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.00_-;\-* #,##0.00_-;_-* &quot;-&quot;??_-;_-@_-"/>
    <numFmt numFmtId="165" formatCode="_ [$₪-40D]\ * #,##0.00_ ;_ [$₪-40D]\ * \-#,##0.00_ ;_ [$₪-40D]\ * &quot;-&quot;??_ ;_ @_ "/>
    <numFmt numFmtId="166" formatCode="_-* #,##0_-;\-* #,##0_-;_-* &quot;-&quot;??_-;_-@_-"/>
    <numFmt numFmtId="167" formatCode="_-[$$-409]* #,##0.00_ ;_-[$$-409]* \-#,##0.00\ ;_-[$$-409]* &quot;-&quot;??_ ;_-@_ "/>
  </numFmts>
  <fonts count="6" x14ac:knownFonts="1">
    <font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u/>
      <sz val="11"/>
      <color theme="1"/>
      <name val="Arial"/>
      <family val="2"/>
      <scheme val="minor"/>
    </font>
    <font>
      <b/>
      <u/>
      <sz val="12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33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Font="1"/>
    <xf numFmtId="0" fontId="1" fillId="0" borderId="1" xfId="0" applyFont="1" applyBorder="1"/>
    <xf numFmtId="14" fontId="1" fillId="0" borderId="1" xfId="0" applyNumberFormat="1" applyFont="1" applyBorder="1"/>
    <xf numFmtId="165" fontId="1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3" borderId="1" xfId="0" applyFont="1" applyFill="1" applyBorder="1"/>
    <xf numFmtId="9" fontId="1" fillId="3" borderId="1" xfId="0" applyNumberFormat="1" applyFont="1" applyFill="1" applyBorder="1"/>
    <xf numFmtId="0" fontId="3" fillId="3" borderId="1" xfId="0" applyFont="1" applyFill="1" applyBorder="1"/>
    <xf numFmtId="0" fontId="2" fillId="0" borderId="0" xfId="0" applyFont="1"/>
    <xf numFmtId="9" fontId="1" fillId="0" borderId="0" xfId="0" applyNumberFormat="1" applyFont="1"/>
    <xf numFmtId="14" fontId="1" fillId="0" borderId="0" xfId="0" applyNumberFormat="1" applyFont="1"/>
    <xf numFmtId="0" fontId="1" fillId="4" borderId="1" xfId="0" applyFont="1" applyFill="1" applyBorder="1"/>
    <xf numFmtId="0" fontId="3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/>
    <xf numFmtId="0" fontId="3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/>
    <xf numFmtId="0" fontId="3" fillId="0" borderId="0" xfId="0" applyFont="1"/>
    <xf numFmtId="166" fontId="3" fillId="0" borderId="0" xfId="1" applyNumberFormat="1" applyFont="1"/>
    <xf numFmtId="0" fontId="1" fillId="7" borderId="1" xfId="0" applyFont="1" applyFill="1" applyBorder="1"/>
    <xf numFmtId="167" fontId="1" fillId="0" borderId="0" xfId="0" applyNumberFormat="1" applyFont="1"/>
    <xf numFmtId="0" fontId="1" fillId="0" borderId="2" xfId="0" applyFont="1" applyBorder="1"/>
    <xf numFmtId="165" fontId="1" fillId="0" borderId="2" xfId="0" applyNumberFormat="1" applyFont="1" applyBorder="1"/>
    <xf numFmtId="166" fontId="1" fillId="0" borderId="1" xfId="1" applyNumberFormat="1" applyFont="1" applyBorder="1"/>
    <xf numFmtId="166" fontId="1" fillId="3" borderId="1" xfId="1" applyNumberFormat="1" applyFont="1" applyFill="1" applyBorder="1"/>
    <xf numFmtId="0" fontId="3" fillId="5" borderId="0" xfId="0" applyFont="1" applyFill="1"/>
    <xf numFmtId="0" fontId="0" fillId="0" borderId="0" xfId="0" pivotButton="1"/>
    <xf numFmtId="0" fontId="0" fillId="0" borderId="0" xfId="0" applyAlignment="1">
      <alignment horizontal="right"/>
    </xf>
    <xf numFmtId="165" fontId="0" fillId="0" borderId="0" xfId="0" applyNumberFormat="1"/>
    <xf numFmtId="0" fontId="0" fillId="3" borderId="0" xfId="0" applyFill="1"/>
    <xf numFmtId="0" fontId="1" fillId="8" borderId="1" xfId="0" applyFont="1" applyFill="1" applyBorder="1"/>
    <xf numFmtId="9" fontId="1" fillId="8" borderId="1" xfId="0" applyNumberFormat="1" applyFont="1" applyFill="1" applyBorder="1"/>
    <xf numFmtId="165" fontId="1" fillId="0" borderId="0" xfId="0" applyNumberFormat="1" applyFont="1"/>
    <xf numFmtId="14" fontId="3" fillId="2" borderId="1" xfId="0" applyNumberFormat="1" applyFont="1" applyFill="1" applyBorder="1" applyAlignment="1">
      <alignment horizontal="center" vertical="center" wrapText="1"/>
    </xf>
    <xf numFmtId="0" fontId="1" fillId="8" borderId="0" xfId="0" applyFont="1" applyFill="1"/>
    <xf numFmtId="167" fontId="0" fillId="9" borderId="0" xfId="0" applyNumberFormat="1" applyFill="1"/>
    <xf numFmtId="167" fontId="5" fillId="9" borderId="3" xfId="0" applyNumberFormat="1" applyFont="1" applyFill="1" applyBorder="1"/>
    <xf numFmtId="167" fontId="5" fillId="9" borderId="4" xfId="0" applyNumberFormat="1" applyFont="1" applyFill="1" applyBorder="1"/>
    <xf numFmtId="0" fontId="1" fillId="10" borderId="0" xfId="0" applyFont="1" applyFill="1"/>
    <xf numFmtId="0" fontId="1" fillId="2" borderId="0" xfId="0" applyFont="1" applyFill="1"/>
    <xf numFmtId="14" fontId="3" fillId="2" borderId="6" xfId="0" applyNumberFormat="1" applyFont="1" applyFill="1" applyBorder="1" applyAlignment="1">
      <alignment horizontal="center" vertical="center" wrapText="1"/>
    </xf>
    <xf numFmtId="14" fontId="3" fillId="2" borderId="7" xfId="0" applyNumberFormat="1" applyFont="1" applyFill="1" applyBorder="1" applyAlignment="1">
      <alignment horizontal="center" vertical="center" wrapText="1"/>
    </xf>
    <xf numFmtId="167" fontId="3" fillId="9" borderId="5" xfId="0" applyNumberFormat="1" applyFont="1" applyFill="1" applyBorder="1" applyAlignment="1">
      <alignment horizontal="center" vertical="center" wrapText="1"/>
    </xf>
    <xf numFmtId="0" fontId="3" fillId="11" borderId="1" xfId="0" applyFont="1" applyFill="1" applyBorder="1"/>
    <xf numFmtId="0" fontId="1" fillId="11" borderId="1" xfId="0" applyFont="1" applyFill="1" applyBorder="1"/>
    <xf numFmtId="9" fontId="1" fillId="11" borderId="1" xfId="0" applyNumberFormat="1" applyFont="1" applyFill="1" applyBorder="1"/>
    <xf numFmtId="0" fontId="1" fillId="12" borderId="0" xfId="0" applyFont="1" applyFill="1" applyAlignment="1">
      <alignment horizontal="center"/>
    </xf>
    <xf numFmtId="0" fontId="1" fillId="0" borderId="8" xfId="0" applyFont="1" applyBorder="1"/>
    <xf numFmtId="0" fontId="1" fillId="8" borderId="9" xfId="0" applyFont="1" applyFill="1" applyBorder="1"/>
    <xf numFmtId="0" fontId="1" fillId="12" borderId="0" xfId="0" applyFont="1" applyFill="1"/>
    <xf numFmtId="165" fontId="1" fillId="13" borderId="0" xfId="0" applyNumberFormat="1" applyFont="1" applyFill="1"/>
  </cellXfs>
  <cellStyles count="2">
    <cellStyle name="Comma" xfId="1" builtinId="3"/>
    <cellStyle name="Normal" xfId="0" builtinId="0"/>
  </cellStyles>
  <dxfs count="4">
    <dxf>
      <fill>
        <patternFill>
          <bgColor theme="6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-0.24994659260841701"/>
        </patternFill>
      </fill>
    </dxf>
  </dxfs>
  <tableStyles count="1" defaultTableStyle="TableStyleMedium9" defaultPivotStyle="PivotStyleLight16">
    <tableStyle name="Invisible" pivot="0" table="0" count="0" xr9:uid="{3D790B54-17A8-438E-B9E4-1DB320ED5336}"/>
  </tableStyles>
  <colors>
    <mruColors>
      <color rgb="FF33CC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b="1" u="sng"/>
              <a:t>התפלגות הכנסות על פי סיבות התקשרות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L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84B-492F-A9E0-06CD36BD9541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84B-492F-A9E0-06CD36BD954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B84B-492F-A9E0-06CD36BD954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B84B-492F-A9E0-06CD36BD954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B84B-492F-A9E0-06CD36BD9541}"/>
              </c:ext>
            </c:extLst>
          </c:dPt>
          <c:dPt>
            <c:idx val="5"/>
            <c:bubble3D val="0"/>
            <c:explosion val="22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B84B-492F-A9E0-06CD36BD954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IL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לקוחות!$U$99:$U$104</c:f>
              <c:strCache>
                <c:ptCount val="6"/>
                <c:pt idx="0">
                  <c:v>הגשת דוחות</c:v>
                </c:pt>
                <c:pt idx="1">
                  <c:v>הגשת דוחות</c:v>
                </c:pt>
                <c:pt idx="2">
                  <c:v>ביקורת שנתית</c:v>
                </c:pt>
                <c:pt idx="3">
                  <c:v>ייעוץ פיננסי</c:v>
                </c:pt>
                <c:pt idx="4">
                  <c:v>הכנת משכורות</c:v>
                </c:pt>
                <c:pt idx="5">
                  <c:v>מיסוי</c:v>
                </c:pt>
              </c:strCache>
            </c:strRef>
          </c:cat>
          <c:val>
            <c:numRef>
              <c:f>לקוחות!$V$99:$V$104</c:f>
              <c:numCache>
                <c:formatCode>_-* #,##0_-;\-* #,##0_-;_-* "-"??_-;_-@_-</c:formatCode>
                <c:ptCount val="6"/>
                <c:pt idx="0">
                  <c:v>639964.79999999993</c:v>
                </c:pt>
                <c:pt idx="1">
                  <c:v>639964.79999999993</c:v>
                </c:pt>
                <c:pt idx="2">
                  <c:v>420214.4</c:v>
                </c:pt>
                <c:pt idx="3">
                  <c:v>454816.65</c:v>
                </c:pt>
                <c:pt idx="4">
                  <c:v>399735.69999999995</c:v>
                </c:pt>
                <c:pt idx="5">
                  <c:v>148317.75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84B-492F-A9E0-06CD36BD954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I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2C8224C-BCFD-46BE-8FCD-274402878BBC}">
  <sheetPr/>
  <sheetViews>
    <sheetView zoomScale="12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60335</xdr:colOff>
      <xdr:row>5</xdr:row>
      <xdr:rowOff>107576</xdr:rowOff>
    </xdr:from>
    <xdr:to>
      <xdr:col>14</xdr:col>
      <xdr:colOff>2106705</xdr:colOff>
      <xdr:row>45</xdr:row>
      <xdr:rowOff>94443</xdr:rowOff>
    </xdr:to>
    <xdr:pic>
      <xdr:nvPicPr>
        <xdr:cNvPr id="40" name="תמונה 39">
          <a:extLst>
            <a:ext uri="{FF2B5EF4-FFF2-40B4-BE49-F238E27FC236}">
              <a16:creationId xmlns:a16="http://schemas.microsoft.com/office/drawing/2014/main" id="{943D43F5-0763-8AA6-5A74-109727092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63547131" y="1299882"/>
          <a:ext cx="6833523" cy="78758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975360</xdr:colOff>
      <xdr:row>13</xdr:row>
      <xdr:rowOff>53340</xdr:rowOff>
    </xdr:from>
    <xdr:to>
      <xdr:col>15</xdr:col>
      <xdr:colOff>761177</xdr:colOff>
      <xdr:row>28</xdr:row>
      <xdr:rowOff>15240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BC5608D0-BBF7-DA90-E0DB-706FE5623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54386023" y="3025140"/>
          <a:ext cx="8472617" cy="2933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88000" cy="6066000"/>
    <xdr:graphicFrame macro="">
      <xdr:nvGraphicFramePr>
        <xdr:cNvPr id="2" name="תרשים 1">
          <a:extLst>
            <a:ext uri="{FF2B5EF4-FFF2-40B4-BE49-F238E27FC236}">
              <a16:creationId xmlns:a16="http://schemas.microsoft.com/office/drawing/2014/main" id="{A1A55137-9668-A928-8E80-B344A9EF485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i Armoni" refreshedDate="45676.623006250004" createdVersion="8" refreshedVersion="8" minRefreshableVersion="3" recordCount="50" xr:uid="{1C3C4730-3129-466A-A728-83F21828F3E5}">
  <cacheSource type="worksheet">
    <worksheetSource ref="A1:N51" sheet="לקוחות"/>
  </cacheSource>
  <cacheFields count="11">
    <cacheField name="קוד לקוח" numFmtId="0">
      <sharedItems containsSemiMixedTypes="0" containsString="0" containsNumber="1" containsInteger="1" minValue="1100" maxValue="9913"/>
    </cacheField>
    <cacheField name="שם פרטי לקוח" numFmtId="0">
      <sharedItems/>
    </cacheField>
    <cacheField name="שם משפחה לקוח" numFmtId="0">
      <sharedItems count="43">
        <s v="לוי"/>
        <s v="כהן"/>
        <s v="עמאש"/>
        <s v="חלפון"/>
        <s v="חסן"/>
        <s v="אברמוב"/>
        <s v="מור"/>
        <s v="שחר"/>
        <s v="רחמים"/>
        <s v="איסקוב"/>
        <s v="פלדמן"/>
        <s v="הראל"/>
        <s v="חדד"/>
        <s v="סבח"/>
        <s v="ג'בארין"/>
        <s v="אטיאס"/>
        <s v="דנינו"/>
        <s v="עזרן"/>
        <s v="סואעד"/>
        <s v="בן עזרא"/>
        <s v="אברהם"/>
        <s v="ארביב"/>
        <s v="קאסם"/>
        <s v="ברזילי"/>
        <s v="שרביט"/>
        <s v="שטיין"/>
        <s v="הררי"/>
        <s v="חדאד"/>
        <s v="קרן"/>
        <s v="טאהא"/>
        <s v="מחמוד"/>
        <s v="אבו ריא"/>
        <s v="זכריה"/>
        <s v="מדר"/>
        <s v="דמרי"/>
        <s v="מזרחי"/>
        <s v="סבג"/>
        <s v="גרוס"/>
        <s v="ביטון"/>
        <s v="נוימן"/>
        <s v="חיים"/>
        <s v="סויסה"/>
        <s v="מרעי"/>
      </sharedItems>
    </cacheField>
    <cacheField name="עיר מגורים לקוח" numFmtId="0">
      <sharedItems count="38">
        <s v="מירון"/>
        <s v="ברקת"/>
        <s v="פקיעין חדשה"/>
        <s v="העוגן"/>
        <s v="ורד יריחו"/>
        <s v="הסוללים"/>
        <s v="שומרה"/>
        <s v="סגולה"/>
        <s v="צורית"/>
        <s v="אודם"/>
        <s v="אל סייד"/>
        <s v="בית חנניה"/>
        <s v="זוהר"/>
        <s v="פוריה - נווה עובד"/>
        <s v="מעונה"/>
        <s v="צפרירים"/>
        <s v="עספיא"/>
        <s v="גבעת כ&quot;ח"/>
        <s v="דוב&quot;ב"/>
        <s v="פוריידיס"/>
        <s v="כסלון"/>
        <s v="נתיב השיירה"/>
        <s v="תלמי אליהו"/>
        <s v="חשמונאים"/>
        <s v="הר אדר"/>
        <s v="טל-אל"/>
        <s v="משמר העמק"/>
        <s v="נירן"/>
        <s v="עין השופט"/>
        <s v="אביחיל"/>
        <s v="נטע"/>
        <s v="מרחביה"/>
        <s v="כפר מסריק"/>
        <s v="עזר"/>
        <s v="גונן"/>
        <s v="שתולים"/>
        <s v="עדי"/>
        <s v="עמוקה"/>
      </sharedItems>
    </cacheField>
    <cacheField name="תאריך התקשרות" numFmtId="14">
      <sharedItems containsSemiMixedTypes="0" containsNonDate="0" containsDate="1" containsString="0" minDate="2019-09-29T00:00:00" maxDate="2024-09-10T00:00:00"/>
    </cacheField>
    <cacheField name="הכנסות מצטברות" numFmtId="165">
      <sharedItems containsSemiMixedTypes="0" containsString="0" containsNumber="1" containsInteger="1" minValue="16410" maxValue="99630"/>
    </cacheField>
    <cacheField name="סיבת התקשרות" numFmtId="0">
      <sharedItems count="5">
        <s v="הגשת דוחות"/>
        <s v="ביקורת שנתית"/>
        <s v="ייעוץ פיננסי"/>
        <s v="הכנת משכורות"/>
        <s v="מיסוי"/>
      </sharedItems>
    </cacheField>
    <cacheField name="הכנסה מצטברת נטו" numFmtId="165">
      <sharedItems containsSemiMixedTypes="0" containsString="0" containsNumber="1" minValue="15698.5" maxValue="69028"/>
    </cacheField>
    <cacheField name="סיום התקשרות" numFmtId="14">
      <sharedItems containsSemiMixedTypes="0" containsNonDate="0" containsDate="1" containsString="0" minDate="2021-03-31T00:00:00" maxDate="2026-04-01T00:00:00"/>
    </cacheField>
    <cacheField name="יום סיום התקשרות" numFmtId="0">
      <sharedItems/>
    </cacheField>
    <cacheField name="סה&quot;כ הכנסה נטו מצטברת ב-$" numFmtId="167">
      <sharedItems containsSemiMixedTypes="0" containsString="0" containsNumber="1" minValue="4485.2857142857147" maxValue="19722.2857142857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n v="7425"/>
    <s v="לירוי"/>
    <x v="0"/>
    <x v="0"/>
    <d v="2024-04-24T00:00:00"/>
    <n v="92634"/>
    <x v="0"/>
    <n v="64830.399999999994"/>
    <d v="2025-10-31T00:00:00"/>
    <s v="מועד ההתקשרות יחל בתחילת השבוע"/>
    <n v="18522.971428571425"/>
  </r>
  <r>
    <n v="8279"/>
    <s v="זינה"/>
    <x v="1"/>
    <x v="1"/>
    <d v="2022-09-12T00:00:00"/>
    <n v="56995"/>
    <x v="0"/>
    <n v="43447"/>
    <d v="2024-03-31T00:00:00"/>
    <s v="אנא פנה בדחיפות לחברה"/>
    <n v="12413.428571428571"/>
  </r>
  <r>
    <n v="8652"/>
    <s v="אביתר"/>
    <x v="2"/>
    <x v="2"/>
    <d v="2021-05-24T00:00:00"/>
    <n v="46998"/>
    <x v="1"/>
    <n v="37448.800000000003"/>
    <d v="2022-11-30T00:00:00"/>
    <s v="אנא פנה בדחיפות לחברה"/>
    <n v="10699.657142857144"/>
  </r>
  <r>
    <n v="4599"/>
    <s v="שמעון"/>
    <x v="3"/>
    <x v="3"/>
    <d v="2021-01-16T00:00:00"/>
    <n v="36490"/>
    <x v="2"/>
    <n v="30968.5"/>
    <d v="2022-07-31T00:00:00"/>
    <s v="אנא פנה בדחיפות לחברה"/>
    <n v="8848.1428571428569"/>
  </r>
  <r>
    <n v="3185"/>
    <s v="אדל"/>
    <x v="4"/>
    <x v="4"/>
    <d v="2021-02-08T00:00:00"/>
    <n v="69142"/>
    <x v="1"/>
    <n v="50735.199999999997"/>
    <d v="2022-08-31T00:00:00"/>
    <s v="אנא פנה בדחיפות לחברה"/>
    <n v="14495.771428571428"/>
  </r>
  <r>
    <n v="1455"/>
    <s v="נעמה"/>
    <x v="5"/>
    <x v="5"/>
    <d v="2024-06-19T00:00:00"/>
    <n v="18144"/>
    <x v="3"/>
    <n v="17172.400000000001"/>
    <d v="2025-12-31T00:00:00"/>
    <s v="Wednesday"/>
    <n v="4906.4000000000005"/>
  </r>
  <r>
    <n v="9895"/>
    <s v="נויה"/>
    <x v="4"/>
    <x v="6"/>
    <d v="2024-04-07T00:00:00"/>
    <n v="68691"/>
    <x v="1"/>
    <n v="50464.6"/>
    <d v="2025-10-31T00:00:00"/>
    <s v="מועד ההתקשרות יחל בתחילת השבוע"/>
    <n v="14418.457142857142"/>
  </r>
  <r>
    <n v="3838"/>
    <s v="עילאי"/>
    <x v="6"/>
    <x v="7"/>
    <d v="2020-07-31T00:00:00"/>
    <n v="18465"/>
    <x v="2"/>
    <n v="17445.25"/>
    <d v="2022-01-31T00:00:00"/>
    <s v="אנא פנה בדחיפות לחברה"/>
    <n v="4984.3571428571431"/>
  </r>
  <r>
    <n v="3146"/>
    <s v="אדל"/>
    <x v="7"/>
    <x v="8"/>
    <d v="2023-01-01T00:00:00"/>
    <n v="60040"/>
    <x v="3"/>
    <n v="45274"/>
    <d v="2024-07-31T00:00:00"/>
    <s v="אנא פנה בדחיפות לחברה"/>
    <n v="12935.428571428571"/>
  </r>
  <r>
    <n v="8697"/>
    <s v="גור"/>
    <x v="8"/>
    <x v="9"/>
    <d v="2022-07-09T00:00:00"/>
    <n v="99630"/>
    <x v="0"/>
    <n v="69028"/>
    <d v="2024-01-31T00:00:00"/>
    <s v="אנא פנה בדחיפות לחברה"/>
    <n v="19722.285714285714"/>
  </r>
  <r>
    <n v="7126"/>
    <s v="יותם"/>
    <x v="9"/>
    <x v="10"/>
    <d v="2021-09-08T00:00:00"/>
    <n v="80327"/>
    <x v="0"/>
    <n v="57446.2"/>
    <d v="2023-03-31T00:00:00"/>
    <s v="אנא פנה בדחיפות לחברה"/>
    <n v="16413.2"/>
  </r>
  <r>
    <n v="1668"/>
    <s v="רות"/>
    <x v="10"/>
    <x v="11"/>
    <d v="2021-02-19T00:00:00"/>
    <n v="45453"/>
    <x v="1"/>
    <n v="36521.800000000003"/>
    <d v="2022-08-31T00:00:00"/>
    <s v="אנא פנה בדחיפות לחברה"/>
    <n v="10434.800000000001"/>
  </r>
  <r>
    <n v="6820"/>
    <s v="אמיר"/>
    <x v="11"/>
    <x v="12"/>
    <d v="2023-07-18T00:00:00"/>
    <n v="39845"/>
    <x v="2"/>
    <n v="33149.25"/>
    <d v="2025-01-31T00:00:00"/>
    <s v="מועד ההתקשרות יחל בתחילת השבוע"/>
    <n v="9471.2142857142862"/>
  </r>
  <r>
    <n v="9913"/>
    <s v="מוחמד"/>
    <x v="12"/>
    <x v="13"/>
    <d v="2024-09-09T00:00:00"/>
    <n v="39649"/>
    <x v="2"/>
    <n v="33021.85"/>
    <d v="2026-03-31T00:00:00"/>
    <s v="Tuesday"/>
    <n v="9434.8142857142848"/>
  </r>
  <r>
    <n v="6959"/>
    <s v="תמר"/>
    <x v="13"/>
    <x v="14"/>
    <d v="2021-07-30T00:00:00"/>
    <n v="59080"/>
    <x v="2"/>
    <n v="44698"/>
    <d v="2023-01-31T00:00:00"/>
    <s v="אנא פנה בדחיפות לחברה"/>
    <n v="12770.857142857143"/>
  </r>
  <r>
    <n v="2545"/>
    <s v="ראובן"/>
    <x v="1"/>
    <x v="15"/>
    <d v="2021-01-02T00:00:00"/>
    <n v="44039"/>
    <x v="2"/>
    <n v="35673.4"/>
    <d v="2022-07-31T00:00:00"/>
    <s v="אנא פנה בדחיפות לחברה"/>
    <n v="10192.4"/>
  </r>
  <r>
    <n v="8665"/>
    <s v="נועה"/>
    <x v="14"/>
    <x v="8"/>
    <d v="2021-05-07T00:00:00"/>
    <n v="88374"/>
    <x v="3"/>
    <n v="62274.399999999994"/>
    <d v="2022-11-30T00:00:00"/>
    <s v="אנא פנה בדחיפות לחברה"/>
    <n v="17792.685714285712"/>
  </r>
  <r>
    <n v="7462"/>
    <s v="אדם"/>
    <x v="15"/>
    <x v="16"/>
    <d v="2023-06-20T00:00:00"/>
    <n v="16410"/>
    <x v="2"/>
    <n v="15698.5"/>
    <d v="2024-12-31T00:00:00"/>
    <s v="אנא פנה בדחיפות לחברה"/>
    <n v="4485.2857142857147"/>
  </r>
  <r>
    <n v="8168"/>
    <s v="רחל"/>
    <x v="16"/>
    <x v="13"/>
    <d v="2022-09-17T00:00:00"/>
    <n v="77854"/>
    <x v="0"/>
    <n v="55962.400000000001"/>
    <d v="2024-03-31T00:00:00"/>
    <s v="אנא פנה בדחיפות לחברה"/>
    <n v="15989.257142857143"/>
  </r>
  <r>
    <n v="9731"/>
    <s v="שגיא"/>
    <x v="1"/>
    <x v="17"/>
    <d v="2022-09-02T00:00:00"/>
    <n v="62929"/>
    <x v="3"/>
    <n v="47007.4"/>
    <d v="2024-03-31T00:00:00"/>
    <s v="אנא פנה בדחיפות לחברה"/>
    <n v="13430.685714285715"/>
  </r>
  <r>
    <n v="4149"/>
    <s v="תמר"/>
    <x v="17"/>
    <x v="16"/>
    <d v="2019-10-10T00:00:00"/>
    <n v="46340"/>
    <x v="0"/>
    <n v="37054"/>
    <d v="2021-04-30T00:00:00"/>
    <s v="אנא פנה בדחיפות לחברה"/>
    <n v="10586.857142857143"/>
  </r>
  <r>
    <n v="8583"/>
    <s v="שאם"/>
    <x v="18"/>
    <x v="18"/>
    <d v="2020-11-27T00:00:00"/>
    <n v="40406"/>
    <x v="2"/>
    <n v="33493.599999999999"/>
    <d v="2022-05-31T00:00:00"/>
    <s v="אנא פנה בדחיפות לחברה"/>
    <n v="9569.6"/>
  </r>
  <r>
    <n v="3322"/>
    <s v="מיכל"/>
    <x v="19"/>
    <x v="19"/>
    <d v="2021-08-13T00:00:00"/>
    <n v="93981"/>
    <x v="2"/>
    <n v="65638.600000000006"/>
    <d v="2023-02-28T00:00:00"/>
    <s v="אנא פנה בדחיפות לחברה"/>
    <n v="18753.885714285716"/>
  </r>
  <r>
    <n v="5639"/>
    <s v="רפאל"/>
    <x v="20"/>
    <x v="20"/>
    <d v="2020-09-12T00:00:00"/>
    <n v="34298"/>
    <x v="3"/>
    <n v="29508.6"/>
    <d v="2022-03-31T00:00:00"/>
    <s v="אנא פנה בדחיפות לחברה"/>
    <n v="8431.028571428571"/>
  </r>
  <r>
    <n v="6931"/>
    <s v="מג'ד"/>
    <x v="21"/>
    <x v="21"/>
    <d v="2022-06-04T00:00:00"/>
    <n v="34974"/>
    <x v="4"/>
    <n v="29981.8"/>
    <d v="2023-12-31T00:00:00"/>
    <s v="אנא פנה בדחיפות לחברה"/>
    <n v="8566.2285714285717"/>
  </r>
  <r>
    <n v="1100"/>
    <s v="אלמא"/>
    <x v="22"/>
    <x v="4"/>
    <d v="2019-11-07T00:00:00"/>
    <n v="37460"/>
    <x v="0"/>
    <n v="31599"/>
    <d v="2021-05-31T00:00:00"/>
    <s v="אנא פנה בדחיפות לחברה"/>
    <n v="9028.2857142857138"/>
  </r>
  <r>
    <n v="8716"/>
    <s v="עמית"/>
    <x v="23"/>
    <x v="22"/>
    <d v="2022-03-28T00:00:00"/>
    <n v="91972"/>
    <x v="0"/>
    <n v="64433.2"/>
    <d v="2023-09-30T00:00:00"/>
    <s v="אנא פנה בדחיפות לחברה"/>
    <n v="18409.485714285714"/>
  </r>
  <r>
    <n v="2100"/>
    <s v="אלון"/>
    <x v="24"/>
    <x v="23"/>
    <d v="2021-11-29T00:00:00"/>
    <n v="45647"/>
    <x v="3"/>
    <n v="36638.199999999997"/>
    <d v="2023-05-31T00:00:00"/>
    <s v="אנא פנה בדחיפות לחברה"/>
    <n v="10468.057142857142"/>
  </r>
  <r>
    <n v="2557"/>
    <s v="נהוראי"/>
    <x v="25"/>
    <x v="24"/>
    <d v="2022-06-12T00:00:00"/>
    <n v="38276"/>
    <x v="1"/>
    <n v="32129.4"/>
    <d v="2023-12-31T00:00:00"/>
    <s v="אנא פנה בדחיפות לחברה"/>
    <n v="9179.8285714285721"/>
  </r>
  <r>
    <n v="8177"/>
    <s v="עלמה"/>
    <x v="26"/>
    <x v="25"/>
    <d v="2020-02-12T00:00:00"/>
    <n v="71095"/>
    <x v="1"/>
    <n v="51907"/>
    <d v="2021-08-31T00:00:00"/>
    <s v="אנא פנה בדחיפות לחברה"/>
    <n v="14830.571428571429"/>
  </r>
  <r>
    <n v="9043"/>
    <s v="נחמן"/>
    <x v="27"/>
    <x v="26"/>
    <d v="2023-04-23T00:00:00"/>
    <n v="35185"/>
    <x v="2"/>
    <n v="30120.25"/>
    <d v="2024-10-31T00:00:00"/>
    <s v="אנא פנה בדחיפות לחברה"/>
    <n v="8605.7857142857138"/>
  </r>
  <r>
    <n v="2940"/>
    <s v="איילה"/>
    <x v="28"/>
    <x v="27"/>
    <d v="2022-09-10T00:00:00"/>
    <n v="34103"/>
    <x v="0"/>
    <n v="29372.1"/>
    <d v="2024-03-31T00:00:00"/>
    <s v="אנא פנה בדחיפות לחברה"/>
    <n v="8392.028571428571"/>
  </r>
  <r>
    <n v="6325"/>
    <s v="עלמה"/>
    <x v="29"/>
    <x v="28"/>
    <d v="2023-03-09T00:00:00"/>
    <n v="33853"/>
    <x v="3"/>
    <n v="29197.1"/>
    <d v="2024-09-30T00:00:00"/>
    <s v="אנא פנה בדחיפות לחברה"/>
    <n v="8342.028571428571"/>
  </r>
  <r>
    <n v="3363"/>
    <s v="נויה"/>
    <x v="30"/>
    <x v="29"/>
    <d v="2021-04-14T00:00:00"/>
    <n v="17796"/>
    <x v="4"/>
    <n v="16876.599999999999"/>
    <d v="2022-10-31T00:00:00"/>
    <s v="אנא פנה בדחיפות לחברה"/>
    <n v="4821.8857142857141"/>
  </r>
  <r>
    <n v="9371"/>
    <s v="אורין"/>
    <x v="31"/>
    <x v="30"/>
    <d v="2020-08-04T00:00:00"/>
    <n v="67184"/>
    <x v="2"/>
    <n v="49560.4"/>
    <d v="2022-02-28T00:00:00"/>
    <s v="אנא פנה בדחיפות לחברה"/>
    <n v="14160.114285714286"/>
  </r>
  <r>
    <n v="6909"/>
    <s v="שמואל"/>
    <x v="32"/>
    <x v="31"/>
    <d v="2023-03-20T00:00:00"/>
    <n v="25505"/>
    <x v="4"/>
    <n v="23128.75"/>
    <d v="2024-09-30T00:00:00"/>
    <s v="אנא פנה בדחיפות לחברה"/>
    <n v="6608.2142857142853"/>
  </r>
  <r>
    <n v="4367"/>
    <s v="נהוראי"/>
    <x v="0"/>
    <x v="32"/>
    <d v="2024-09-05T00:00:00"/>
    <n v="32359"/>
    <x v="0"/>
    <n v="28151.3"/>
    <d v="2026-03-31T00:00:00"/>
    <s v="Tuesday"/>
    <n v="8043.2285714285708"/>
  </r>
  <r>
    <n v="8192"/>
    <s v="יהונתן"/>
    <x v="33"/>
    <x v="8"/>
    <d v="2024-07-15T00:00:00"/>
    <n v="71321"/>
    <x v="1"/>
    <n v="52042.6"/>
    <d v="2026-01-31T00:00:00"/>
    <s v="מועד ההתקשרות יחל בתחילת השבוע"/>
    <n v="14869.314285714285"/>
  </r>
  <r>
    <n v="8345"/>
    <s v="אלמא"/>
    <x v="34"/>
    <x v="8"/>
    <d v="2023-09-02T00:00:00"/>
    <n v="81110"/>
    <x v="1"/>
    <n v="57916"/>
    <d v="2025-03-31T00:00:00"/>
    <s v="Monday"/>
    <n v="16547.428571428572"/>
  </r>
  <r>
    <n v="4957"/>
    <s v="הודיה"/>
    <x v="35"/>
    <x v="23"/>
    <d v="2022-01-20T00:00:00"/>
    <n v="66042"/>
    <x v="4"/>
    <n v="48875.199999999997"/>
    <d v="2023-07-31T00:00:00"/>
    <s v="אנא פנה בדחיפות לחברה"/>
    <n v="13964.342857142856"/>
  </r>
  <r>
    <n v="4884"/>
    <s v="עמליה"/>
    <x v="36"/>
    <x v="22"/>
    <d v="2022-11-08T00:00:00"/>
    <n v="95922"/>
    <x v="0"/>
    <n v="66803.199999999997"/>
    <d v="2024-05-31T00:00:00"/>
    <s v="אנא פנה בדחיפות לחברה"/>
    <n v="19086.62857142857"/>
  </r>
  <r>
    <n v="2962"/>
    <s v="ליהי"/>
    <x v="37"/>
    <x v="21"/>
    <d v="2023-09-19T00:00:00"/>
    <n v="34222"/>
    <x v="4"/>
    <n v="29455.4"/>
    <d v="2025-03-31T00:00:00"/>
    <s v="Monday"/>
    <n v="8415.8285714285721"/>
  </r>
  <r>
    <n v="6595"/>
    <s v="אדל"/>
    <x v="38"/>
    <x v="33"/>
    <d v="2019-09-29T00:00:00"/>
    <n v="72678"/>
    <x v="3"/>
    <n v="52856.800000000003"/>
    <d v="2021-03-31T00:00:00"/>
    <s v="אנא פנה בדחיפות לחברה"/>
    <n v="15101.942857142858"/>
  </r>
  <r>
    <n v="6311"/>
    <s v="עבד"/>
    <x v="39"/>
    <x v="6"/>
    <d v="2024-07-07T00:00:00"/>
    <n v="79903"/>
    <x v="0"/>
    <n v="57191.8"/>
    <d v="2026-01-31T00:00:00"/>
    <s v="מועד ההתקשרות יחל בתחילת השבוע"/>
    <n v="16340.514285714287"/>
  </r>
  <r>
    <n v="8473"/>
    <s v="אריאל"/>
    <x v="40"/>
    <x v="0"/>
    <d v="2024-03-13T00:00:00"/>
    <n v="69665"/>
    <x v="1"/>
    <n v="51049"/>
    <d v="2025-09-30T00:00:00"/>
    <s v="Tuesday"/>
    <n v="14585.428571428571"/>
  </r>
  <r>
    <n v="5117"/>
    <s v="עדי"/>
    <x v="12"/>
    <x v="34"/>
    <d v="2022-09-09T00:00:00"/>
    <n v="42327"/>
    <x v="0"/>
    <n v="34646.199999999997"/>
    <d v="2024-03-31T00:00:00"/>
    <s v="אנא פנה בדחיפות לחברה"/>
    <n v="9898.9142857142851"/>
  </r>
  <r>
    <n v="3786"/>
    <s v="ליאור"/>
    <x v="0"/>
    <x v="16"/>
    <d v="2021-09-06T00:00:00"/>
    <n v="40371"/>
    <x v="3"/>
    <n v="33472.6"/>
    <d v="2023-03-31T00:00:00"/>
    <s v="אנא פנה בדחיפות לחברה"/>
    <n v="9563.6"/>
  </r>
  <r>
    <n v="8059"/>
    <s v="דניאל"/>
    <x v="41"/>
    <x v="35"/>
    <d v="2024-09-02T00:00:00"/>
    <n v="61807"/>
    <x v="3"/>
    <n v="46334.2"/>
    <d v="2026-03-31T00:00:00"/>
    <s v="Tuesday"/>
    <n v="13238.342857142856"/>
  </r>
  <r>
    <n v="6470"/>
    <s v="שלו"/>
    <x v="1"/>
    <x v="36"/>
    <d v="2021-05-14T00:00:00"/>
    <n v="52973"/>
    <x v="2"/>
    <n v="41033.800000000003"/>
    <d v="2022-11-30T00:00:00"/>
    <s v="אנא פנה בדחיפות לחברה"/>
    <n v="11723.942857142858"/>
  </r>
  <r>
    <n v="5893"/>
    <s v="דניאלה"/>
    <x v="42"/>
    <x v="37"/>
    <d v="2022-03-30T00:00:00"/>
    <n v="27087"/>
    <x v="2"/>
    <n v="24315.25"/>
    <d v="2023-09-30T00:00:00"/>
    <s v="אנא פנה בדחיפות לחברה"/>
    <n v="6947.214285714285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D1B80D-CA16-442C-9458-E7D83D695393}" name="PivotTable1" cacheId="0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outline="1" outlineData="1" multipleFieldFilters="0">
  <location ref="A3:C9" firstHeaderRow="0" firstDataRow="1" firstDataCol="1" rowPageCount="1" colPageCount="1"/>
  <pivotFields count="11">
    <pivotField showAll="0"/>
    <pivotField showAll="0"/>
    <pivotField showAll="0"/>
    <pivotField axis="axisPage" showAll="0">
      <items count="39">
        <item x="29"/>
        <item x="9"/>
        <item x="10"/>
        <item x="11"/>
        <item x="1"/>
        <item x="17"/>
        <item x="34"/>
        <item x="18"/>
        <item x="5"/>
        <item x="3"/>
        <item x="24"/>
        <item x="4"/>
        <item x="12"/>
        <item x="23"/>
        <item x="25"/>
        <item x="20"/>
        <item x="32"/>
        <item x="0"/>
        <item x="14"/>
        <item x="31"/>
        <item x="26"/>
        <item x="30"/>
        <item x="27"/>
        <item x="21"/>
        <item x="7"/>
        <item x="36"/>
        <item x="33"/>
        <item x="28"/>
        <item x="37"/>
        <item x="16"/>
        <item x="13"/>
        <item x="19"/>
        <item x="2"/>
        <item x="8"/>
        <item x="15"/>
        <item x="6"/>
        <item x="35"/>
        <item x="22"/>
        <item t="default"/>
      </items>
    </pivotField>
    <pivotField numFmtId="14" showAll="0"/>
    <pivotField numFmtId="165" showAll="0"/>
    <pivotField axis="axisRow" showAll="0">
      <items count="6">
        <item x="1"/>
        <item x="0"/>
        <item x="3"/>
        <item x="2"/>
        <item x="4"/>
        <item t="default"/>
      </items>
    </pivotField>
    <pivotField dataField="1" numFmtId="165" showAll="0"/>
    <pivotField numFmtId="14" showAll="0"/>
    <pivotField showAll="0"/>
    <pivotField numFmtId="167" showAll="0"/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סה&quot;כ הכנסה מצטברת" fld="7" baseField="0" baseItem="0" numFmtId="165"/>
    <dataField name="מספר לקוחות" fld="7" subtotal="count" baseField="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05F173-2046-4006-A801-E0FF40BFECDE}" name="PivotTable2" cacheId="0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outline="1" outlineData="1" multipleFieldFilters="0">
  <location ref="A3:C47" firstHeaderRow="0" firstDataRow="1" firstDataCol="1"/>
  <pivotFields count="11">
    <pivotField showAll="0"/>
    <pivotField showAll="0"/>
    <pivotField axis="axisRow" showAll="0">
      <items count="44">
        <item x="31"/>
        <item x="20"/>
        <item x="5"/>
        <item x="15"/>
        <item x="9"/>
        <item x="21"/>
        <item x="38"/>
        <item x="19"/>
        <item x="23"/>
        <item x="14"/>
        <item x="37"/>
        <item x="34"/>
        <item x="16"/>
        <item x="11"/>
        <item x="26"/>
        <item x="32"/>
        <item x="27"/>
        <item x="12"/>
        <item x="40"/>
        <item x="3"/>
        <item x="4"/>
        <item x="29"/>
        <item x="1"/>
        <item x="0"/>
        <item x="33"/>
        <item x="6"/>
        <item x="35"/>
        <item x="30"/>
        <item x="42"/>
        <item x="39"/>
        <item x="36"/>
        <item x="13"/>
        <item x="18"/>
        <item x="41"/>
        <item x="17"/>
        <item x="2"/>
        <item x="10"/>
        <item x="22"/>
        <item x="28"/>
        <item x="8"/>
        <item x="7"/>
        <item x="25"/>
        <item x="24"/>
        <item t="default"/>
      </items>
    </pivotField>
    <pivotField showAll="0"/>
    <pivotField numFmtId="14" showAll="0"/>
    <pivotField numFmtId="165" showAll="0"/>
    <pivotField showAll="0"/>
    <pivotField dataField="1" numFmtId="165" showAll="0"/>
    <pivotField numFmtId="14" showAll="0"/>
    <pivotField showAll="0"/>
    <pivotField numFmtId="167" showAll="0"/>
  </pivotFields>
  <rowFields count="1">
    <field x="2"/>
  </rowFields>
  <rowItems count="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 t="grand">
      <x/>
    </i>
  </rowItems>
  <colFields count="1">
    <field x="-2"/>
  </colFields>
  <colItems count="2">
    <i>
      <x/>
    </i>
    <i i="1">
      <x v="1"/>
    </i>
  </colItems>
  <dataFields count="2">
    <dataField name="סה&quot;כהכנסה מצטברת נטו" fld="7" baseField="0" baseItem="0" numFmtId="165"/>
    <dataField name="מספר התקשרויות" fld="7" subtotal="count" baseField="2" baseItem="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9"/>
  <sheetViews>
    <sheetView rightToLeft="1" tabSelected="1" topLeftCell="G1" zoomScale="85" zoomScaleNormal="85" workbookViewId="0">
      <selection activeCell="H32" sqref="H32"/>
    </sheetView>
  </sheetViews>
  <sheetFormatPr defaultColWidth="8.69921875" defaultRowHeight="15.6" x14ac:dyDescent="0.3"/>
  <cols>
    <col min="1" max="1" width="8.69921875" style="1"/>
    <col min="2" max="2" width="16" style="1" customWidth="1"/>
    <col min="3" max="3" width="19.09765625" style="1" customWidth="1"/>
    <col min="4" max="4" width="23.09765625" style="1" customWidth="1"/>
    <col min="5" max="5" width="22.59765625" style="1" customWidth="1"/>
    <col min="6" max="6" width="22.8984375" style="1" bestFit="1" customWidth="1"/>
    <col min="7" max="7" width="21.296875" style="1" customWidth="1"/>
    <col min="8" max="8" width="14" style="1" customWidth="1"/>
    <col min="9" max="9" width="14" style="14" customWidth="1"/>
    <col min="10" max="10" width="21.3984375" style="14" customWidth="1"/>
    <col min="11" max="11" width="13.09765625" style="38" bestFit="1" customWidth="1"/>
    <col min="12" max="12" width="14" style="14" customWidth="1"/>
    <col min="13" max="13" width="25.19921875" style="14" customWidth="1"/>
    <col min="14" max="14" width="10.59765625" style="1" customWidth="1"/>
    <col min="15" max="15" width="32.69921875" style="1" customWidth="1"/>
    <col min="16" max="16" width="10.8984375" style="1" bestFit="1" customWidth="1"/>
    <col min="17" max="17" width="17.796875" style="1" customWidth="1"/>
    <col min="18" max="18" width="8.69921875" style="1"/>
    <col min="19" max="19" width="22.296875" style="1" customWidth="1"/>
    <col min="20" max="20" width="20.3984375" style="1" customWidth="1"/>
    <col min="21" max="21" width="16.296875" style="1" customWidth="1"/>
    <col min="22" max="22" width="8.69921875" style="1"/>
    <col min="23" max="23" width="10.796875" style="1" bestFit="1" customWidth="1"/>
    <col min="24" max="24" width="16.8984375" style="1" customWidth="1"/>
    <col min="25" max="16384" width="8.69921875" style="1"/>
  </cols>
  <sheetData>
    <row r="1" spans="1:24" s="8" customFormat="1" ht="31.8" thickBot="1" x14ac:dyDescent="0.3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132</v>
      </c>
      <c r="G1" s="7" t="s">
        <v>133</v>
      </c>
      <c r="H1" s="7" t="s">
        <v>137</v>
      </c>
      <c r="I1" s="36" t="s">
        <v>141</v>
      </c>
      <c r="J1" s="43"/>
      <c r="K1" s="45" t="s">
        <v>188</v>
      </c>
      <c r="L1" s="44" t="s">
        <v>142</v>
      </c>
      <c r="M1" s="36"/>
      <c r="N1" s="7" t="s">
        <v>141</v>
      </c>
      <c r="O1" s="7" t="s">
        <v>169</v>
      </c>
      <c r="P1" s="8" t="s">
        <v>170</v>
      </c>
      <c r="Q1" s="8" t="s">
        <v>190</v>
      </c>
      <c r="S1" s="8" t="s">
        <v>165</v>
      </c>
      <c r="T1" s="8" t="s">
        <v>166</v>
      </c>
      <c r="U1" s="8" t="s">
        <v>167</v>
      </c>
    </row>
    <row r="2" spans="1:24" x14ac:dyDescent="0.3">
      <c r="A2" s="2">
        <v>7425</v>
      </c>
      <c r="B2" s="2" t="s">
        <v>5</v>
      </c>
      <c r="C2" s="2" t="s">
        <v>48</v>
      </c>
      <c r="D2" s="2" t="s">
        <v>91</v>
      </c>
      <c r="E2" s="3">
        <v>45406</v>
      </c>
      <c r="F2" s="4">
        <v>92634</v>
      </c>
      <c r="G2" s="24" t="s">
        <v>127</v>
      </c>
      <c r="H2" s="25">
        <f>F2-(VLOOKUP(F2,$V$6:$X$13,3,TRUE)+(F2-VLOOKUP(F2,$V$6:$X$13,1,TRUE))*VLOOKUP(F2,$V$6:$X$13,2,TRUE))</f>
        <v>64830.399999999994</v>
      </c>
      <c r="I2" s="14">
        <f>EOMONTH(E2,18)</f>
        <v>45961</v>
      </c>
      <c r="J2" s="14" t="str">
        <f t="shared" ref="J2:J33" ca="1" si="0">IF(I2&lt;TODAY(),$L$61,L2)</f>
        <v>אנא פנה דחוף לחידוש</v>
      </c>
      <c r="K2" s="38">
        <f>H2/$F$53</f>
        <v>18522.971428571425</v>
      </c>
      <c r="L2" s="14" t="str">
        <f>TEXT(I2,"dddd")</f>
        <v>יום שישי</v>
      </c>
      <c r="M2" s="14" t="str">
        <f>IF(OR(L2=$L$56,L2=$L$57),$L$59,L2)</f>
        <v>המועד יחול בתחילת השבוע</v>
      </c>
      <c r="N2" s="14">
        <f>EOMONTH(E2,18)</f>
        <v>45961</v>
      </c>
      <c r="O2" s="35">
        <f>(F2-S2)*T2+U2</f>
        <v>27803.600000000002</v>
      </c>
      <c r="P2" s="35">
        <f>F2-O2</f>
        <v>64830.399999999994</v>
      </c>
      <c r="Q2" s="1" t="s">
        <v>168</v>
      </c>
      <c r="S2" s="1">
        <f>_xlfn.XLOOKUP(F2,$V$6:$V$13,$V$6:$V$13,,-1)</f>
        <v>40000</v>
      </c>
      <c r="T2" s="1">
        <f>_xlfn.XLOOKUP(F2,$V$6:$V$13,$W$6:$W$13,,-1)</f>
        <v>0.4</v>
      </c>
      <c r="U2" s="1">
        <f>_xlfn.XLOOKUP(F2,$V$6:$V$13,$X$6:$X$13,,-1)</f>
        <v>6750</v>
      </c>
    </row>
    <row r="3" spans="1:24" x14ac:dyDescent="0.3">
      <c r="A3" s="2">
        <v>8279</v>
      </c>
      <c r="B3" s="2" t="s">
        <v>6</v>
      </c>
      <c r="C3" s="2" t="s">
        <v>49</v>
      </c>
      <c r="D3" s="2" t="s">
        <v>92</v>
      </c>
      <c r="E3" s="3">
        <v>44816</v>
      </c>
      <c r="F3" s="4">
        <v>56995</v>
      </c>
      <c r="G3" s="2" t="s">
        <v>127</v>
      </c>
      <c r="H3" s="4">
        <f>F3-(VLOOKUP(F3,$V$6:$X$13,3,TRUE)+(F3-VLOOKUP(F3,$V$6:$X$13,1,TRUE))*VLOOKUP(F3,$V$6:$X$13,2,TRUE))</f>
        <v>43447</v>
      </c>
      <c r="I3" s="14">
        <f t="shared" ref="I3:I51" si="1">EOMONTH(E3,18)</f>
        <v>45382</v>
      </c>
      <c r="J3" s="14" t="str">
        <f t="shared" ca="1" si="0"/>
        <v>אנא פנה דחוף לחידוש</v>
      </c>
      <c r="K3" s="38">
        <f t="shared" ref="K3:K51" si="2">H3/$F$53</f>
        <v>12413.428571428571</v>
      </c>
      <c r="L3" s="14" t="str">
        <f t="shared" ref="L3:L51" si="3">TEXT(I3,"dddd")</f>
        <v>יום ראשון</v>
      </c>
      <c r="M3" s="14" t="str">
        <f t="shared" ref="M3:M51" si="4">IF(OR(L3=$L$56,L3=$L$57),$L$59,L3)</f>
        <v>יום ראשון</v>
      </c>
      <c r="N3" s="14">
        <f t="shared" ref="N3:N51" si="5">EOMONTH(E3,18)</f>
        <v>45382</v>
      </c>
      <c r="O3" s="35">
        <f>(F3-S3)*T3+U3</f>
        <v>13548</v>
      </c>
      <c r="P3" s="35">
        <f>F3-O3</f>
        <v>43447</v>
      </c>
      <c r="S3" s="1">
        <f>_xlfn.XLOOKUP(F3,$V$6:$V$13,$V$6:$V$13,,-1)</f>
        <v>40000</v>
      </c>
      <c r="T3" s="1">
        <f>_xlfn.XLOOKUP(F3,$V$6:$V$13,$W$6:$W$13,,-1)</f>
        <v>0.4</v>
      </c>
      <c r="U3" s="1">
        <f>_xlfn.XLOOKUP(F3,$V$6:$V$13,$X$6:$X$13,,-1)</f>
        <v>6750</v>
      </c>
    </row>
    <row r="4" spans="1:24" x14ac:dyDescent="0.3">
      <c r="A4" s="2">
        <v>8652</v>
      </c>
      <c r="B4" s="2" t="s">
        <v>7</v>
      </c>
      <c r="C4" s="2" t="s">
        <v>50</v>
      </c>
      <c r="D4" s="2" t="s">
        <v>93</v>
      </c>
      <c r="E4" s="3">
        <v>44340</v>
      </c>
      <c r="F4" s="4">
        <v>46998</v>
      </c>
      <c r="G4" s="2" t="s">
        <v>128</v>
      </c>
      <c r="H4" s="4">
        <f>F4-(VLOOKUP(F4,$V$6:$X$13,3,TRUE)+(F4-VLOOKUP(F4,$V$6:$X$13,1,TRUE))*VLOOKUP(F4,$V$6:$X$13,2,TRUE))</f>
        <v>37448.800000000003</v>
      </c>
      <c r="I4" s="14">
        <f t="shared" si="1"/>
        <v>44895</v>
      </c>
      <c r="J4" s="14" t="str">
        <f t="shared" ca="1" si="0"/>
        <v>אנא פנה דחוף לחידוש</v>
      </c>
      <c r="K4" s="38">
        <f t="shared" si="2"/>
        <v>10699.657142857144</v>
      </c>
      <c r="L4" s="14" t="str">
        <f t="shared" si="3"/>
        <v>יום רביעי</v>
      </c>
      <c r="M4" s="14" t="str">
        <f t="shared" si="4"/>
        <v>יום רביעי</v>
      </c>
      <c r="N4" s="14">
        <f t="shared" si="5"/>
        <v>44895</v>
      </c>
      <c r="O4" s="35">
        <f>(F4-S4)*T4+U4</f>
        <v>9549.2000000000007</v>
      </c>
      <c r="P4" s="35">
        <f>F4-O4</f>
        <v>37448.800000000003</v>
      </c>
      <c r="S4" s="1">
        <f>_xlfn.XLOOKUP(F4,$V$6:$V$13,$V$6:$V$13,,-1)</f>
        <v>40000</v>
      </c>
      <c r="T4" s="1">
        <f>_xlfn.XLOOKUP(F4,$V$6:$V$13,$W$6:$W$13,,-1)</f>
        <v>0.4</v>
      </c>
      <c r="U4" s="1">
        <f>_xlfn.XLOOKUP(F4,$V$6:$V$13,$X$6:$X$13,,-1)</f>
        <v>6750</v>
      </c>
    </row>
    <row r="5" spans="1:24" x14ac:dyDescent="0.3">
      <c r="A5" s="2">
        <v>4599</v>
      </c>
      <c r="B5" s="2" t="s">
        <v>8</v>
      </c>
      <c r="C5" s="2" t="s">
        <v>51</v>
      </c>
      <c r="D5" s="2" t="s">
        <v>94</v>
      </c>
      <c r="E5" s="3">
        <v>44212</v>
      </c>
      <c r="F5" s="4">
        <v>36490</v>
      </c>
      <c r="G5" s="2" t="s">
        <v>129</v>
      </c>
      <c r="H5" s="4">
        <f>F5-(VLOOKUP(F5,$V$6:$X$13,3,TRUE)+(F5-VLOOKUP(F5,$V$6:$X$13,1,TRUE))*VLOOKUP(F5,$V$6:$X$13,2,TRUE))</f>
        <v>30968.5</v>
      </c>
      <c r="I5" s="14">
        <f t="shared" si="1"/>
        <v>44773</v>
      </c>
      <c r="J5" s="14" t="str">
        <f t="shared" ca="1" si="0"/>
        <v>אנא פנה דחוף לחידוש</v>
      </c>
      <c r="K5" s="38">
        <f t="shared" si="2"/>
        <v>8848.1428571428569</v>
      </c>
      <c r="L5" s="14" t="str">
        <f t="shared" si="3"/>
        <v>יום ראשון</v>
      </c>
      <c r="M5" s="14" t="str">
        <f t="shared" si="4"/>
        <v>יום ראשון</v>
      </c>
      <c r="N5" s="14">
        <f t="shared" si="5"/>
        <v>44773</v>
      </c>
      <c r="O5" s="35">
        <f>(F5-S5)*T5+U5</f>
        <v>5521.5</v>
      </c>
      <c r="P5" s="35">
        <f>F5-O5</f>
        <v>30968.5</v>
      </c>
      <c r="S5" s="1">
        <f>_xlfn.XLOOKUP(F5,$V$6:$V$13,$V$6:$V$13,,-1)</f>
        <v>35000</v>
      </c>
      <c r="T5" s="1">
        <f>_xlfn.XLOOKUP(F5,$V$6:$V$13,$W$6:$W$13,,-1)</f>
        <v>0.35</v>
      </c>
      <c r="U5" s="1">
        <f>_xlfn.XLOOKUP(F5,$V$6:$V$13,$X$6:$X$13,,-1)</f>
        <v>5000</v>
      </c>
      <c r="V5" s="46" t="s">
        <v>138</v>
      </c>
      <c r="W5" s="46" t="s">
        <v>139</v>
      </c>
      <c r="X5" s="46" t="s">
        <v>140</v>
      </c>
    </row>
    <row r="6" spans="1:24" x14ac:dyDescent="0.3">
      <c r="A6" s="2">
        <v>3185</v>
      </c>
      <c r="B6" s="2" t="s">
        <v>9</v>
      </c>
      <c r="C6" s="2" t="s">
        <v>52</v>
      </c>
      <c r="D6" s="2" t="s">
        <v>95</v>
      </c>
      <c r="E6" s="3">
        <v>44235</v>
      </c>
      <c r="F6" s="4">
        <v>69142</v>
      </c>
      <c r="G6" s="2" t="s">
        <v>128</v>
      </c>
      <c r="H6" s="4">
        <f>F6-(VLOOKUP(F6,$V$6:$X$13,3,TRUE)+(F6-VLOOKUP(F6,$V$6:$X$13,1,TRUE))*VLOOKUP(F6,$V$6:$X$13,2,TRUE))</f>
        <v>50735.199999999997</v>
      </c>
      <c r="I6" s="14">
        <f t="shared" si="1"/>
        <v>44804</v>
      </c>
      <c r="J6" s="14" t="str">
        <f t="shared" ca="1" si="0"/>
        <v>אנא פנה דחוף לחידוש</v>
      </c>
      <c r="K6" s="38">
        <f t="shared" si="2"/>
        <v>14495.771428571428</v>
      </c>
      <c r="L6" s="14" t="str">
        <f t="shared" si="3"/>
        <v>יום רביעי</v>
      </c>
      <c r="M6" s="14" t="str">
        <f t="shared" si="4"/>
        <v>יום רביעי</v>
      </c>
      <c r="N6" s="14">
        <f t="shared" si="5"/>
        <v>44804</v>
      </c>
      <c r="O6" s="35">
        <f>(F6-S6)*T6+U6</f>
        <v>18406.800000000003</v>
      </c>
      <c r="P6" s="35">
        <f>F6-O6</f>
        <v>50735.199999999997</v>
      </c>
      <c r="S6" s="1">
        <f>_xlfn.XLOOKUP(F6,$V$6:$V$13,$V$6:$V$13,,-1)</f>
        <v>40000</v>
      </c>
      <c r="T6" s="1">
        <f>_xlfn.XLOOKUP(F6,$V$6:$V$13,$W$6:$W$13,,-1)</f>
        <v>0.4</v>
      </c>
      <c r="U6" s="1">
        <f>_xlfn.XLOOKUP(F6,$V$6:$V$13,$X$6:$X$13,,-1)</f>
        <v>6750</v>
      </c>
      <c r="V6" s="33">
        <v>0</v>
      </c>
      <c r="W6" s="34">
        <v>0</v>
      </c>
      <c r="X6" s="33">
        <f>W6*V6</f>
        <v>0</v>
      </c>
    </row>
    <row r="7" spans="1:24" x14ac:dyDescent="0.3">
      <c r="A7" s="2">
        <v>1455</v>
      </c>
      <c r="B7" s="2" t="s">
        <v>10</v>
      </c>
      <c r="C7" s="2" t="s">
        <v>53</v>
      </c>
      <c r="D7" s="2" t="s">
        <v>96</v>
      </c>
      <c r="E7" s="3">
        <v>45462</v>
      </c>
      <c r="F7" s="4">
        <v>18144</v>
      </c>
      <c r="G7" s="2" t="s">
        <v>130</v>
      </c>
      <c r="H7" s="4">
        <f>F7-(VLOOKUP(F7,$V$6:$X$13,3,TRUE)+(F7-VLOOKUP(F7,$V$6:$X$13,1,TRUE))*VLOOKUP(F7,$V$6:$X$13,2,TRUE))</f>
        <v>17172.400000000001</v>
      </c>
      <c r="I7" s="14">
        <f t="shared" si="1"/>
        <v>46022</v>
      </c>
      <c r="J7" s="14" t="str">
        <f t="shared" ca="1" si="0"/>
        <v>אנא פנה דחוף לחידוש</v>
      </c>
      <c r="K7" s="38">
        <f t="shared" si="2"/>
        <v>4906.4000000000005</v>
      </c>
      <c r="L7" s="14" t="str">
        <f t="shared" si="3"/>
        <v>יום רביעי</v>
      </c>
      <c r="M7" s="14" t="str">
        <f t="shared" si="4"/>
        <v>יום רביעי</v>
      </c>
      <c r="N7" s="14">
        <f t="shared" si="5"/>
        <v>46022</v>
      </c>
      <c r="O7" s="35">
        <f>(F7-S7)*T7+U7</f>
        <v>971.59999999999991</v>
      </c>
      <c r="P7" s="35">
        <f>F7-O7</f>
        <v>17172.400000000001</v>
      </c>
      <c r="S7" s="1">
        <f>_xlfn.XLOOKUP(F7,$V$6:$V$13,$V$6:$V$13,,-1)</f>
        <v>15000</v>
      </c>
      <c r="T7" s="1">
        <f>_xlfn.XLOOKUP(F7,$V$6:$V$13,$W$6:$W$13,,-1)</f>
        <v>0.15</v>
      </c>
      <c r="U7" s="1">
        <f>_xlfn.XLOOKUP(F7,$V$6:$V$13,$X$6:$X$13,,-1)</f>
        <v>500</v>
      </c>
      <c r="V7" s="33">
        <v>10000</v>
      </c>
      <c r="W7" s="48">
        <v>0.1</v>
      </c>
      <c r="X7" s="47">
        <f>(V7-V6)*W6+X6</f>
        <v>0</v>
      </c>
    </row>
    <row r="8" spans="1:24" x14ac:dyDescent="0.3">
      <c r="A8" s="2">
        <v>9895</v>
      </c>
      <c r="B8" s="2" t="s">
        <v>11</v>
      </c>
      <c r="C8" s="2" t="s">
        <v>52</v>
      </c>
      <c r="D8" s="2" t="s">
        <v>97</v>
      </c>
      <c r="E8" s="3">
        <v>45389</v>
      </c>
      <c r="F8" s="4">
        <v>68691</v>
      </c>
      <c r="G8" s="2" t="s">
        <v>128</v>
      </c>
      <c r="H8" s="4">
        <f>F8-(VLOOKUP(F8,$V$6:$X$13,3,TRUE)+(F8-VLOOKUP(F8,$V$6:$X$13,1,TRUE))*VLOOKUP(F8,$V$6:$X$13,2,TRUE))</f>
        <v>50464.6</v>
      </c>
      <c r="I8" s="14">
        <f t="shared" si="1"/>
        <v>45961</v>
      </c>
      <c r="J8" s="14" t="str">
        <f t="shared" ca="1" si="0"/>
        <v>אנא פנה דחוף לחידוש</v>
      </c>
      <c r="K8" s="38">
        <f t="shared" si="2"/>
        <v>14418.457142857142</v>
      </c>
      <c r="L8" s="14" t="str">
        <f t="shared" si="3"/>
        <v>יום שישי</v>
      </c>
      <c r="M8" s="14" t="str">
        <f t="shared" si="4"/>
        <v>המועד יחול בתחילת השבוע</v>
      </c>
      <c r="N8" s="14">
        <f t="shared" si="5"/>
        <v>45961</v>
      </c>
      <c r="O8" s="35">
        <f>(F8-S8)*T8+U8</f>
        <v>18226.400000000001</v>
      </c>
      <c r="P8" s="35">
        <f>F8-O8</f>
        <v>50464.6</v>
      </c>
      <c r="S8" s="1">
        <f>_xlfn.XLOOKUP(F8,$V$6:$V$13,$V$6:$V$13,,-1)</f>
        <v>40000</v>
      </c>
      <c r="T8" s="1">
        <f>_xlfn.XLOOKUP(F8,$V$6:$V$13,$W$6:$W$13,,-1)</f>
        <v>0.4</v>
      </c>
      <c r="U8" s="1">
        <f>_xlfn.XLOOKUP(F8,$V$6:$V$13,$X$6:$X$13,,-1)</f>
        <v>6750</v>
      </c>
      <c r="V8" s="47">
        <v>15000</v>
      </c>
      <c r="W8" s="48">
        <v>0.15</v>
      </c>
      <c r="X8" s="47">
        <f t="shared" ref="X8:X13" si="6">(V8-V7)*W7+X7</f>
        <v>500</v>
      </c>
    </row>
    <row r="9" spans="1:24" x14ac:dyDescent="0.3">
      <c r="A9" s="2">
        <v>3838</v>
      </c>
      <c r="B9" s="2" t="s">
        <v>12</v>
      </c>
      <c r="C9" s="2" t="s">
        <v>54</v>
      </c>
      <c r="D9" s="2" t="s">
        <v>98</v>
      </c>
      <c r="E9" s="3">
        <v>44043</v>
      </c>
      <c r="F9" s="4">
        <v>18465</v>
      </c>
      <c r="G9" s="2" t="s">
        <v>129</v>
      </c>
      <c r="H9" s="4">
        <f>F9-(VLOOKUP(F9,$V$6:$X$13,3,TRUE)+(F9-VLOOKUP(F9,$V$6:$X$13,1,TRUE))*VLOOKUP(F9,$V$6:$X$13,2,TRUE))</f>
        <v>17445.25</v>
      </c>
      <c r="I9" s="14">
        <f t="shared" si="1"/>
        <v>44592</v>
      </c>
      <c r="J9" s="14" t="str">
        <f t="shared" ca="1" si="0"/>
        <v>אנא פנה דחוף לחידוש</v>
      </c>
      <c r="K9" s="38">
        <f t="shared" si="2"/>
        <v>4984.3571428571431</v>
      </c>
      <c r="L9" s="14" t="str">
        <f t="shared" si="3"/>
        <v>יום שני</v>
      </c>
      <c r="M9" s="14" t="str">
        <f t="shared" si="4"/>
        <v>יום שני</v>
      </c>
      <c r="N9" s="14">
        <f t="shared" si="5"/>
        <v>44592</v>
      </c>
      <c r="O9" s="35">
        <f>(F9-S9)*T9+U9</f>
        <v>1019.75</v>
      </c>
      <c r="P9" s="35">
        <f>F9-O9</f>
        <v>17445.25</v>
      </c>
      <c r="S9" s="1">
        <f>_xlfn.XLOOKUP(F9,$V$6:$V$13,$V$6:$V$13,,-1)</f>
        <v>15000</v>
      </c>
      <c r="T9" s="1">
        <f>_xlfn.XLOOKUP(F9,$V$6:$V$13,$W$6:$W$13,,-1)</f>
        <v>0.15</v>
      </c>
      <c r="U9" s="1">
        <f>_xlfn.XLOOKUP(F9,$V$6:$V$13,$X$6:$X$13,,-1)</f>
        <v>500</v>
      </c>
      <c r="V9" s="47">
        <v>20000</v>
      </c>
      <c r="W9" s="48">
        <v>0.2</v>
      </c>
      <c r="X9" s="47">
        <f t="shared" si="6"/>
        <v>1250</v>
      </c>
    </row>
    <row r="10" spans="1:24" x14ac:dyDescent="0.3">
      <c r="A10" s="2">
        <v>3146</v>
      </c>
      <c r="B10" s="2" t="s">
        <v>9</v>
      </c>
      <c r="C10" s="2" t="s">
        <v>55</v>
      </c>
      <c r="D10" s="2" t="s">
        <v>99</v>
      </c>
      <c r="E10" s="3">
        <v>44927</v>
      </c>
      <c r="F10" s="4">
        <v>60040</v>
      </c>
      <c r="G10" s="2" t="s">
        <v>130</v>
      </c>
      <c r="H10" s="4">
        <f>F10-(VLOOKUP(F10,$V$6:$X$13,3,TRUE)+(F10-VLOOKUP(F10,$V$6:$X$13,1,TRUE))*VLOOKUP(F10,$V$6:$X$13,2,TRUE))</f>
        <v>45274</v>
      </c>
      <c r="I10" s="14">
        <f t="shared" si="1"/>
        <v>45504</v>
      </c>
      <c r="J10" s="14" t="str">
        <f t="shared" ca="1" si="0"/>
        <v>אנא פנה דחוף לחידוש</v>
      </c>
      <c r="K10" s="38">
        <f t="shared" si="2"/>
        <v>12935.428571428571</v>
      </c>
      <c r="L10" s="14" t="str">
        <f t="shared" si="3"/>
        <v>יום רביעי</v>
      </c>
      <c r="M10" s="14" t="str">
        <f t="shared" si="4"/>
        <v>יום רביעי</v>
      </c>
      <c r="N10" s="14">
        <f t="shared" si="5"/>
        <v>45504</v>
      </c>
      <c r="O10" s="35">
        <f>(F10-S10)*T10+U10</f>
        <v>14766</v>
      </c>
      <c r="P10" s="35">
        <f>F10-O10</f>
        <v>45274</v>
      </c>
      <c r="S10" s="1">
        <f>_xlfn.XLOOKUP(F10,$V$6:$V$13,$V$6:$V$13,,-1)</f>
        <v>40000</v>
      </c>
      <c r="T10" s="1">
        <f>_xlfn.XLOOKUP(F10,$V$6:$V$13,$W$6:$W$13,,-1)</f>
        <v>0.4</v>
      </c>
      <c r="U10" s="1">
        <f>_xlfn.XLOOKUP(F10,$V$6:$V$13,$X$6:$X$13,,-1)</f>
        <v>6750</v>
      </c>
      <c r="V10" s="47">
        <v>25000</v>
      </c>
      <c r="W10" s="48">
        <v>0.25</v>
      </c>
      <c r="X10" s="47">
        <f t="shared" si="6"/>
        <v>2250</v>
      </c>
    </row>
    <row r="11" spans="1:24" x14ac:dyDescent="0.3">
      <c r="A11" s="2">
        <v>8697</v>
      </c>
      <c r="B11" s="2" t="s">
        <v>13</v>
      </c>
      <c r="C11" s="2" t="s">
        <v>56</v>
      </c>
      <c r="D11" s="2" t="s">
        <v>100</v>
      </c>
      <c r="E11" s="3">
        <v>44751</v>
      </c>
      <c r="F11" s="4">
        <v>99630</v>
      </c>
      <c r="G11" s="2" t="s">
        <v>127</v>
      </c>
      <c r="H11" s="4">
        <f>F11-(VLOOKUP(F11,$V$6:$X$13,3,TRUE)+(F11-VLOOKUP(F11,$V$6:$X$13,1,TRUE))*VLOOKUP(F11,$V$6:$X$13,2,TRUE))</f>
        <v>69028</v>
      </c>
      <c r="I11" s="14">
        <f t="shared" si="1"/>
        <v>45322</v>
      </c>
      <c r="J11" s="14" t="str">
        <f t="shared" ca="1" si="0"/>
        <v>אנא פנה דחוף לחידוש</v>
      </c>
      <c r="K11" s="38">
        <f t="shared" si="2"/>
        <v>19722.285714285714</v>
      </c>
      <c r="L11" s="14" t="str">
        <f t="shared" si="3"/>
        <v>יום רביעי</v>
      </c>
      <c r="M11" s="14" t="str">
        <f t="shared" si="4"/>
        <v>יום רביעי</v>
      </c>
      <c r="N11" s="14">
        <f t="shared" si="5"/>
        <v>45322</v>
      </c>
      <c r="O11" s="35">
        <f>(F11-S11)*T11+U11</f>
        <v>30602</v>
      </c>
      <c r="P11" s="35">
        <f>F11-O11</f>
        <v>69028</v>
      </c>
      <c r="S11" s="1">
        <f>_xlfn.XLOOKUP(F11,$V$6:$V$13,$V$6:$V$13,,-1)</f>
        <v>40000</v>
      </c>
      <c r="T11" s="1">
        <f>_xlfn.XLOOKUP(F11,$V$6:$V$13,$W$6:$W$13,,-1)</f>
        <v>0.4</v>
      </c>
      <c r="U11" s="1">
        <f>_xlfn.XLOOKUP(F11,$V$6:$V$13,$X$6:$X$13,,-1)</f>
        <v>6750</v>
      </c>
      <c r="V11" s="47">
        <v>30000</v>
      </c>
      <c r="W11" s="48">
        <v>0.3</v>
      </c>
      <c r="X11" s="47">
        <f t="shared" si="6"/>
        <v>3500</v>
      </c>
    </row>
    <row r="12" spans="1:24" x14ac:dyDescent="0.3">
      <c r="A12" s="2">
        <v>7126</v>
      </c>
      <c r="B12" s="2" t="s">
        <v>14</v>
      </c>
      <c r="C12" s="2" t="s">
        <v>57</v>
      </c>
      <c r="D12" s="2" t="s">
        <v>101</v>
      </c>
      <c r="E12" s="3">
        <v>44447</v>
      </c>
      <c r="F12" s="4">
        <v>80327</v>
      </c>
      <c r="G12" s="2" t="s">
        <v>127</v>
      </c>
      <c r="H12" s="4">
        <f>F12-(VLOOKUP(F12,$V$6:$X$13,3,TRUE)+(F12-VLOOKUP(F12,$V$6:$X$13,1,TRUE))*VLOOKUP(F12,$V$6:$X$13,2,TRUE))</f>
        <v>57446.2</v>
      </c>
      <c r="I12" s="14">
        <f t="shared" si="1"/>
        <v>45016</v>
      </c>
      <c r="J12" s="14" t="str">
        <f t="shared" ca="1" si="0"/>
        <v>אנא פנה דחוף לחידוש</v>
      </c>
      <c r="K12" s="38">
        <f t="shared" si="2"/>
        <v>16413.2</v>
      </c>
      <c r="L12" s="14" t="str">
        <f t="shared" si="3"/>
        <v>יום שישי</v>
      </c>
      <c r="M12" s="14" t="str">
        <f t="shared" si="4"/>
        <v>המועד יחול בתחילת השבוע</v>
      </c>
      <c r="N12" s="14">
        <f t="shared" si="5"/>
        <v>45016</v>
      </c>
      <c r="O12" s="35">
        <f>(F12-S12)*T12+U12</f>
        <v>22880.800000000003</v>
      </c>
      <c r="P12" s="35">
        <f>F12-O12</f>
        <v>57446.2</v>
      </c>
      <c r="S12" s="1">
        <f>_xlfn.XLOOKUP(F12,$V$6:$V$13,$V$6:$V$13,,-1)</f>
        <v>40000</v>
      </c>
      <c r="T12" s="1">
        <f>_xlfn.XLOOKUP(F12,$V$6:$V$13,$W$6:$W$13,,-1)</f>
        <v>0.4</v>
      </c>
      <c r="U12" s="1">
        <f>_xlfn.XLOOKUP(F12,$V$6:$V$13,$X$6:$X$13,,-1)</f>
        <v>6750</v>
      </c>
      <c r="V12" s="47">
        <v>35000</v>
      </c>
      <c r="W12" s="48">
        <v>0.35</v>
      </c>
      <c r="X12" s="47">
        <f t="shared" si="6"/>
        <v>5000</v>
      </c>
    </row>
    <row r="13" spans="1:24" x14ac:dyDescent="0.3">
      <c r="A13" s="2">
        <v>1668</v>
      </c>
      <c r="B13" s="2" t="s">
        <v>15</v>
      </c>
      <c r="C13" s="2" t="s">
        <v>58</v>
      </c>
      <c r="D13" s="2" t="s">
        <v>102</v>
      </c>
      <c r="E13" s="3">
        <v>44246</v>
      </c>
      <c r="F13" s="4">
        <v>45453</v>
      </c>
      <c r="G13" s="2" t="s">
        <v>128</v>
      </c>
      <c r="H13" s="4">
        <f>F13-(VLOOKUP(F13,$V$6:$X$13,3,TRUE)+(F13-VLOOKUP(F13,$V$6:$X$13,1,TRUE))*VLOOKUP(F13,$V$6:$X$13,2,TRUE))</f>
        <v>36521.800000000003</v>
      </c>
      <c r="I13" s="14">
        <f t="shared" si="1"/>
        <v>44804</v>
      </c>
      <c r="J13" s="14" t="str">
        <f t="shared" ca="1" si="0"/>
        <v>אנא פנה דחוף לחידוש</v>
      </c>
      <c r="K13" s="38">
        <f t="shared" si="2"/>
        <v>10434.800000000001</v>
      </c>
      <c r="L13" s="14" t="str">
        <f t="shared" si="3"/>
        <v>יום רביעי</v>
      </c>
      <c r="M13" s="14" t="str">
        <f t="shared" si="4"/>
        <v>יום רביעי</v>
      </c>
      <c r="N13" s="14">
        <f t="shared" si="5"/>
        <v>44804</v>
      </c>
      <c r="O13" s="35">
        <f>(F13-S13)*T13+U13</f>
        <v>8931.2000000000007</v>
      </c>
      <c r="P13" s="35">
        <f>F13-O13</f>
        <v>36521.800000000003</v>
      </c>
      <c r="S13" s="1">
        <f>_xlfn.XLOOKUP(F13,$V$6:$V$13,$V$6:$V$13,,-1)</f>
        <v>40000</v>
      </c>
      <c r="T13" s="1">
        <f>_xlfn.XLOOKUP(F13,$V$6:$V$13,$W$6:$W$13,,-1)</f>
        <v>0.4</v>
      </c>
      <c r="U13" s="1">
        <f>_xlfn.XLOOKUP(F13,$V$6:$V$13,$X$6:$X$13,,-1)</f>
        <v>6750</v>
      </c>
      <c r="V13" s="47">
        <v>40000</v>
      </c>
      <c r="W13" s="48">
        <v>0.4</v>
      </c>
      <c r="X13" s="47">
        <f t="shared" si="6"/>
        <v>6750</v>
      </c>
    </row>
    <row r="14" spans="1:24" x14ac:dyDescent="0.3">
      <c r="A14" s="2">
        <v>6820</v>
      </c>
      <c r="B14" s="2" t="s">
        <v>16</v>
      </c>
      <c r="C14" s="2" t="s">
        <v>59</v>
      </c>
      <c r="D14" s="2" t="s">
        <v>103</v>
      </c>
      <c r="E14" s="3">
        <v>45125</v>
      </c>
      <c r="F14" s="4">
        <v>39845</v>
      </c>
      <c r="G14" s="2" t="s">
        <v>129</v>
      </c>
      <c r="H14" s="4">
        <f>F14-(VLOOKUP(F14,$V$6:$X$13,3,TRUE)+(F14-VLOOKUP(F14,$V$6:$X$13,1,TRUE))*VLOOKUP(F14,$V$6:$X$13,2,TRUE))</f>
        <v>33149.25</v>
      </c>
      <c r="I14" s="14">
        <f t="shared" si="1"/>
        <v>45688</v>
      </c>
      <c r="J14" s="14" t="str">
        <f t="shared" ca="1" si="0"/>
        <v>אנא פנה דחוף לחידוש</v>
      </c>
      <c r="K14" s="38">
        <f t="shared" si="2"/>
        <v>9471.2142857142862</v>
      </c>
      <c r="L14" s="14" t="str">
        <f t="shared" si="3"/>
        <v>יום שישי</v>
      </c>
      <c r="M14" s="14" t="str">
        <f t="shared" si="4"/>
        <v>המועד יחול בתחילת השבוע</v>
      </c>
      <c r="N14" s="14">
        <f t="shared" si="5"/>
        <v>45688</v>
      </c>
      <c r="O14" s="35">
        <f>(F14-S14)*T14+U14</f>
        <v>6695.75</v>
      </c>
      <c r="P14" s="35">
        <f>F14-O14</f>
        <v>33149.25</v>
      </c>
      <c r="S14" s="1">
        <f>_xlfn.XLOOKUP(F14,$V$6:$V$13,$V$6:$V$13,,-1)</f>
        <v>35000</v>
      </c>
      <c r="T14" s="1">
        <f>_xlfn.XLOOKUP(F14,$V$6:$V$13,$W$6:$W$13,,-1)</f>
        <v>0.35</v>
      </c>
      <c r="U14" s="1">
        <f>_xlfn.XLOOKUP(F14,$V$6:$V$13,$X$6:$X$13,,-1)</f>
        <v>5000</v>
      </c>
    </row>
    <row r="15" spans="1:24" x14ac:dyDescent="0.3">
      <c r="A15" s="2">
        <v>9913</v>
      </c>
      <c r="B15" s="2" t="s">
        <v>17</v>
      </c>
      <c r="C15" s="2" t="s">
        <v>60</v>
      </c>
      <c r="D15" s="2" t="s">
        <v>104</v>
      </c>
      <c r="E15" s="3">
        <v>45544</v>
      </c>
      <c r="F15" s="4">
        <v>39649</v>
      </c>
      <c r="G15" s="2" t="s">
        <v>129</v>
      </c>
      <c r="H15" s="4">
        <f>F15-(VLOOKUP(F15,$V$6:$X$13,3,TRUE)+(F15-VLOOKUP(F15,$V$6:$X$13,1,TRUE))*VLOOKUP(F15,$V$6:$X$13,2,TRUE))</f>
        <v>33021.85</v>
      </c>
      <c r="I15" s="14">
        <f t="shared" si="1"/>
        <v>46112</v>
      </c>
      <c r="J15" s="14" t="str">
        <f t="shared" ca="1" si="0"/>
        <v>יום שלישי</v>
      </c>
      <c r="K15" s="38">
        <f t="shared" si="2"/>
        <v>9434.8142857142848</v>
      </c>
      <c r="L15" s="14" t="str">
        <f t="shared" si="3"/>
        <v>יום שלישי</v>
      </c>
      <c r="M15" s="14" t="str">
        <f t="shared" si="4"/>
        <v>יום שלישי</v>
      </c>
      <c r="N15" s="14">
        <f t="shared" si="5"/>
        <v>46112</v>
      </c>
      <c r="O15" s="35">
        <f>(F15-S15)*T15+U15</f>
        <v>6627.15</v>
      </c>
      <c r="P15" s="35">
        <f>F15-O15</f>
        <v>33021.85</v>
      </c>
      <c r="S15" s="1">
        <f>_xlfn.XLOOKUP(F15,$V$6:$V$13,$V$6:$V$13,,-1)</f>
        <v>35000</v>
      </c>
      <c r="T15" s="1">
        <f>_xlfn.XLOOKUP(F15,$V$6:$V$13,$W$6:$W$13,,-1)</f>
        <v>0.35</v>
      </c>
      <c r="U15" s="1">
        <f>_xlfn.XLOOKUP(F15,$V$6:$V$13,$X$6:$X$13,,-1)</f>
        <v>5000</v>
      </c>
    </row>
    <row r="16" spans="1:24" x14ac:dyDescent="0.3">
      <c r="A16" s="2">
        <v>6959</v>
      </c>
      <c r="B16" s="2" t="s">
        <v>18</v>
      </c>
      <c r="C16" s="2" t="s">
        <v>61</v>
      </c>
      <c r="D16" s="2" t="s">
        <v>105</v>
      </c>
      <c r="E16" s="3">
        <v>44407</v>
      </c>
      <c r="F16" s="4">
        <v>59080</v>
      </c>
      <c r="G16" s="2" t="s">
        <v>129</v>
      </c>
      <c r="H16" s="4">
        <f>F16-(VLOOKUP(F16,$V$6:$X$13,3,TRUE)+(F16-VLOOKUP(F16,$V$6:$X$13,1,TRUE))*VLOOKUP(F16,$V$6:$X$13,2,TRUE))</f>
        <v>44698</v>
      </c>
      <c r="I16" s="14">
        <f t="shared" si="1"/>
        <v>44957</v>
      </c>
      <c r="J16" s="14" t="str">
        <f t="shared" ca="1" si="0"/>
        <v>אנא פנה דחוף לחידוש</v>
      </c>
      <c r="K16" s="38">
        <f t="shared" si="2"/>
        <v>12770.857142857143</v>
      </c>
      <c r="L16" s="14" t="str">
        <f t="shared" si="3"/>
        <v>יום שלישי</v>
      </c>
      <c r="M16" s="14" t="str">
        <f t="shared" si="4"/>
        <v>יום שלישי</v>
      </c>
      <c r="N16" s="14">
        <f t="shared" si="5"/>
        <v>44957</v>
      </c>
      <c r="O16" s="35">
        <f>(F16-S16)*T16+U16</f>
        <v>14382</v>
      </c>
      <c r="P16" s="35">
        <f>F16-O16</f>
        <v>44698</v>
      </c>
      <c r="S16" s="1">
        <f>_xlfn.XLOOKUP(F16,$V$6:$V$13,$V$6:$V$13,,-1)</f>
        <v>40000</v>
      </c>
      <c r="T16" s="1">
        <f>_xlfn.XLOOKUP(F16,$V$6:$V$13,$W$6:$W$13,,-1)</f>
        <v>0.4</v>
      </c>
      <c r="U16" s="1">
        <f>_xlfn.XLOOKUP(F16,$V$6:$V$13,$X$6:$X$13,,-1)</f>
        <v>6750</v>
      </c>
    </row>
    <row r="17" spans="1:21" x14ac:dyDescent="0.3">
      <c r="A17" s="2">
        <v>2545</v>
      </c>
      <c r="B17" s="2" t="s">
        <v>19</v>
      </c>
      <c r="C17" s="2" t="s">
        <v>49</v>
      </c>
      <c r="D17" s="2" t="s">
        <v>106</v>
      </c>
      <c r="E17" s="3">
        <v>44198</v>
      </c>
      <c r="F17" s="4">
        <v>44039</v>
      </c>
      <c r="G17" s="2" t="s">
        <v>129</v>
      </c>
      <c r="H17" s="4">
        <f>F17-(VLOOKUP(F17,$V$6:$X$13,3,TRUE)+(F17-VLOOKUP(F17,$V$6:$X$13,1,TRUE))*VLOOKUP(F17,$V$6:$X$13,2,TRUE))</f>
        <v>35673.4</v>
      </c>
      <c r="I17" s="14">
        <f t="shared" si="1"/>
        <v>44773</v>
      </c>
      <c r="J17" s="14" t="str">
        <f t="shared" ca="1" si="0"/>
        <v>אנא פנה דחוף לחידוש</v>
      </c>
      <c r="K17" s="38">
        <f t="shared" si="2"/>
        <v>10192.4</v>
      </c>
      <c r="L17" s="14" t="str">
        <f t="shared" si="3"/>
        <v>יום ראשון</v>
      </c>
      <c r="M17" s="14" t="str">
        <f t="shared" si="4"/>
        <v>יום ראשון</v>
      </c>
      <c r="N17" s="14">
        <f t="shared" si="5"/>
        <v>44773</v>
      </c>
      <c r="O17" s="35">
        <f>(F17-S17)*T17+U17</f>
        <v>8365.6</v>
      </c>
      <c r="P17" s="35">
        <f>F17-O17</f>
        <v>35673.4</v>
      </c>
      <c r="S17" s="1">
        <f>_xlfn.XLOOKUP(F17,$V$6:$V$13,$V$6:$V$13,,-1)</f>
        <v>40000</v>
      </c>
      <c r="T17" s="1">
        <f>_xlfn.XLOOKUP(F17,$V$6:$V$13,$W$6:$W$13,,-1)</f>
        <v>0.4</v>
      </c>
      <c r="U17" s="1">
        <f>_xlfn.XLOOKUP(F17,$V$6:$V$13,$X$6:$X$13,,-1)</f>
        <v>6750</v>
      </c>
    </row>
    <row r="18" spans="1:21" x14ac:dyDescent="0.3">
      <c r="A18" s="2">
        <v>8665</v>
      </c>
      <c r="B18" s="2" t="s">
        <v>20</v>
      </c>
      <c r="C18" s="2" t="s">
        <v>62</v>
      </c>
      <c r="D18" s="2" t="s">
        <v>99</v>
      </c>
      <c r="E18" s="3">
        <v>44323</v>
      </c>
      <c r="F18" s="4">
        <v>88374</v>
      </c>
      <c r="G18" s="2" t="s">
        <v>130</v>
      </c>
      <c r="H18" s="4">
        <f>F18-(VLOOKUP(F18,$V$6:$X$13,3,TRUE)+(F18-VLOOKUP(F18,$V$6:$X$13,1,TRUE))*VLOOKUP(F18,$V$6:$X$13,2,TRUE))</f>
        <v>62274.399999999994</v>
      </c>
      <c r="I18" s="14">
        <f t="shared" si="1"/>
        <v>44895</v>
      </c>
      <c r="J18" s="14" t="str">
        <f t="shared" ca="1" si="0"/>
        <v>אנא פנה דחוף לחידוש</v>
      </c>
      <c r="K18" s="38">
        <f t="shared" si="2"/>
        <v>17792.685714285712</v>
      </c>
      <c r="L18" s="14" t="str">
        <f t="shared" si="3"/>
        <v>יום רביעי</v>
      </c>
      <c r="M18" s="14" t="str">
        <f t="shared" si="4"/>
        <v>יום רביעי</v>
      </c>
      <c r="N18" s="14">
        <f t="shared" si="5"/>
        <v>44895</v>
      </c>
      <c r="O18" s="35">
        <f>(F18-S18)*T18+U18</f>
        <v>26099.600000000002</v>
      </c>
      <c r="P18" s="35">
        <f>F18-O18</f>
        <v>62274.399999999994</v>
      </c>
      <c r="S18" s="1">
        <f>_xlfn.XLOOKUP(F18,$V$6:$V$13,$V$6:$V$13,,-1)</f>
        <v>40000</v>
      </c>
      <c r="T18" s="1">
        <f>_xlfn.XLOOKUP(F18,$V$6:$V$13,$W$6:$W$13,,-1)</f>
        <v>0.4</v>
      </c>
      <c r="U18" s="1">
        <f>_xlfn.XLOOKUP(F18,$V$6:$V$13,$X$6:$X$13,,-1)</f>
        <v>6750</v>
      </c>
    </row>
    <row r="19" spans="1:21" x14ac:dyDescent="0.3">
      <c r="A19" s="2">
        <v>7462</v>
      </c>
      <c r="B19" s="2" t="s">
        <v>21</v>
      </c>
      <c r="C19" s="2" t="s">
        <v>63</v>
      </c>
      <c r="D19" s="2" t="s">
        <v>107</v>
      </c>
      <c r="E19" s="3">
        <v>45097</v>
      </c>
      <c r="F19" s="4">
        <v>16410</v>
      </c>
      <c r="G19" s="2" t="s">
        <v>129</v>
      </c>
      <c r="H19" s="4">
        <f>F19-(VLOOKUP(F19,$V$6:$X$13,3,TRUE)+(F19-VLOOKUP(F19,$V$6:$X$13,1,TRUE))*VLOOKUP(F19,$V$6:$X$13,2,TRUE))</f>
        <v>15698.5</v>
      </c>
      <c r="I19" s="14">
        <f t="shared" si="1"/>
        <v>45657</v>
      </c>
      <c r="J19" s="14" t="str">
        <f t="shared" ca="1" si="0"/>
        <v>אנא פנה דחוף לחידוש</v>
      </c>
      <c r="K19" s="38">
        <f t="shared" si="2"/>
        <v>4485.2857142857147</v>
      </c>
      <c r="L19" s="14" t="str">
        <f t="shared" si="3"/>
        <v>יום שלישי</v>
      </c>
      <c r="M19" s="14" t="str">
        <f t="shared" si="4"/>
        <v>יום שלישי</v>
      </c>
      <c r="N19" s="14">
        <f t="shared" si="5"/>
        <v>45657</v>
      </c>
      <c r="O19" s="35">
        <f>(F19-S19)*T19+U19</f>
        <v>711.5</v>
      </c>
      <c r="P19" s="35">
        <f>F19-O19</f>
        <v>15698.5</v>
      </c>
      <c r="S19" s="1">
        <f>_xlfn.XLOOKUP(F19,$V$6:$V$13,$V$6:$V$13,,-1)</f>
        <v>15000</v>
      </c>
      <c r="T19" s="1">
        <f>_xlfn.XLOOKUP(F19,$V$6:$V$13,$W$6:$W$13,,-1)</f>
        <v>0.15</v>
      </c>
      <c r="U19" s="1">
        <f>_xlfn.XLOOKUP(F19,$V$6:$V$13,$X$6:$X$13,,-1)</f>
        <v>500</v>
      </c>
    </row>
    <row r="20" spans="1:21" x14ac:dyDescent="0.3">
      <c r="A20" s="2">
        <v>8168</v>
      </c>
      <c r="B20" s="2" t="s">
        <v>22</v>
      </c>
      <c r="C20" s="2" t="s">
        <v>64</v>
      </c>
      <c r="D20" s="2" t="s">
        <v>104</v>
      </c>
      <c r="E20" s="3">
        <v>44821</v>
      </c>
      <c r="F20" s="4">
        <v>77854</v>
      </c>
      <c r="G20" s="2" t="s">
        <v>127</v>
      </c>
      <c r="H20" s="4">
        <f>F20-(VLOOKUP(F20,$V$6:$X$13,3,TRUE)+(F20-VLOOKUP(F20,$V$6:$X$13,1,TRUE))*VLOOKUP(F20,$V$6:$X$13,2,TRUE))</f>
        <v>55962.400000000001</v>
      </c>
      <c r="I20" s="14">
        <f t="shared" si="1"/>
        <v>45382</v>
      </c>
      <c r="J20" s="14" t="str">
        <f t="shared" ca="1" si="0"/>
        <v>אנא פנה דחוף לחידוש</v>
      </c>
      <c r="K20" s="38">
        <f t="shared" si="2"/>
        <v>15989.257142857143</v>
      </c>
      <c r="L20" s="14" t="str">
        <f t="shared" si="3"/>
        <v>יום ראשון</v>
      </c>
      <c r="M20" s="14" t="str">
        <f t="shared" si="4"/>
        <v>יום ראשון</v>
      </c>
      <c r="N20" s="14">
        <f t="shared" si="5"/>
        <v>45382</v>
      </c>
      <c r="O20" s="35">
        <f>(F20-S20)*T20+U20</f>
        <v>21891.599999999999</v>
      </c>
      <c r="P20" s="35">
        <f>F20-O20</f>
        <v>55962.400000000001</v>
      </c>
      <c r="S20" s="1">
        <f>_xlfn.XLOOKUP(F20,$V$6:$V$13,$V$6:$V$13,,-1)</f>
        <v>40000</v>
      </c>
      <c r="T20" s="1">
        <f>_xlfn.XLOOKUP(F20,$V$6:$V$13,$W$6:$W$13,,-1)</f>
        <v>0.4</v>
      </c>
      <c r="U20" s="1">
        <f>_xlfn.XLOOKUP(F20,$V$6:$V$13,$X$6:$X$13,,-1)</f>
        <v>6750</v>
      </c>
    </row>
    <row r="21" spans="1:21" x14ac:dyDescent="0.3">
      <c r="A21" s="2">
        <v>9731</v>
      </c>
      <c r="B21" s="2" t="s">
        <v>23</v>
      </c>
      <c r="C21" s="2" t="s">
        <v>49</v>
      </c>
      <c r="D21" s="2" t="s">
        <v>108</v>
      </c>
      <c r="E21" s="3">
        <v>44806</v>
      </c>
      <c r="F21" s="4">
        <v>62929</v>
      </c>
      <c r="G21" s="2" t="s">
        <v>130</v>
      </c>
      <c r="H21" s="4">
        <f>F21-(VLOOKUP(F21,$V$6:$X$13,3,TRUE)+(F21-VLOOKUP(F21,$V$6:$X$13,1,TRUE))*VLOOKUP(F21,$V$6:$X$13,2,TRUE))</f>
        <v>47007.4</v>
      </c>
      <c r="I21" s="14">
        <f t="shared" si="1"/>
        <v>45382</v>
      </c>
      <c r="J21" s="14" t="str">
        <f t="shared" ca="1" si="0"/>
        <v>אנא פנה דחוף לחידוש</v>
      </c>
      <c r="K21" s="38">
        <f t="shared" si="2"/>
        <v>13430.685714285715</v>
      </c>
      <c r="L21" s="14" t="str">
        <f t="shared" si="3"/>
        <v>יום ראשון</v>
      </c>
      <c r="M21" s="14" t="str">
        <f t="shared" si="4"/>
        <v>יום ראשון</v>
      </c>
      <c r="N21" s="14">
        <f t="shared" si="5"/>
        <v>45382</v>
      </c>
      <c r="O21" s="35">
        <f>(F21-S21)*T21+U21</f>
        <v>15921.6</v>
      </c>
      <c r="P21" s="35">
        <f>F21-O21</f>
        <v>47007.4</v>
      </c>
      <c r="S21" s="1">
        <f>_xlfn.XLOOKUP(F21,$V$6:$V$13,$V$6:$V$13,,-1)</f>
        <v>40000</v>
      </c>
      <c r="T21" s="1">
        <f>_xlfn.XLOOKUP(F21,$V$6:$V$13,$W$6:$W$13,,-1)</f>
        <v>0.4</v>
      </c>
      <c r="U21" s="1">
        <f>_xlfn.XLOOKUP(F21,$V$6:$V$13,$X$6:$X$13,,-1)</f>
        <v>6750</v>
      </c>
    </row>
    <row r="22" spans="1:21" x14ac:dyDescent="0.3">
      <c r="A22" s="2">
        <v>4149</v>
      </c>
      <c r="B22" s="2" t="s">
        <v>18</v>
      </c>
      <c r="C22" s="2" t="s">
        <v>65</v>
      </c>
      <c r="D22" s="2" t="s">
        <v>107</v>
      </c>
      <c r="E22" s="3">
        <v>43748</v>
      </c>
      <c r="F22" s="4">
        <v>46340</v>
      </c>
      <c r="G22" s="2" t="s">
        <v>127</v>
      </c>
      <c r="H22" s="4">
        <f>F22-(VLOOKUP(F22,$V$6:$X$13,3,TRUE)+(F22-VLOOKUP(F22,$V$6:$X$13,1,TRUE))*VLOOKUP(F22,$V$6:$X$13,2,TRUE))</f>
        <v>37054</v>
      </c>
      <c r="I22" s="14">
        <f t="shared" si="1"/>
        <v>44316</v>
      </c>
      <c r="J22" s="14" t="str">
        <f t="shared" ca="1" si="0"/>
        <v>אנא פנה דחוף לחידוש</v>
      </c>
      <c r="K22" s="38">
        <f t="shared" si="2"/>
        <v>10586.857142857143</v>
      </c>
      <c r="L22" s="14" t="str">
        <f t="shared" si="3"/>
        <v>יום שישי</v>
      </c>
      <c r="M22" s="14" t="str">
        <f t="shared" si="4"/>
        <v>המועד יחול בתחילת השבוע</v>
      </c>
      <c r="N22" s="14">
        <f t="shared" si="5"/>
        <v>44316</v>
      </c>
      <c r="O22" s="35">
        <f>(F22-S22)*T22+U22</f>
        <v>9286</v>
      </c>
      <c r="P22" s="35">
        <f>F22-O22</f>
        <v>37054</v>
      </c>
      <c r="S22" s="1">
        <f>_xlfn.XLOOKUP(F22,$V$6:$V$13,$V$6:$V$13,,-1)</f>
        <v>40000</v>
      </c>
      <c r="T22" s="1">
        <f>_xlfn.XLOOKUP(F22,$V$6:$V$13,$W$6:$W$13,,-1)</f>
        <v>0.4</v>
      </c>
      <c r="U22" s="1">
        <f>_xlfn.XLOOKUP(F22,$V$6:$V$13,$X$6:$X$13,,-1)</f>
        <v>6750</v>
      </c>
    </row>
    <row r="23" spans="1:21" x14ac:dyDescent="0.3">
      <c r="A23" s="2">
        <v>8583</v>
      </c>
      <c r="B23" s="2" t="s">
        <v>24</v>
      </c>
      <c r="C23" s="2" t="s">
        <v>66</v>
      </c>
      <c r="D23" s="2" t="s">
        <v>109</v>
      </c>
      <c r="E23" s="3">
        <v>44162</v>
      </c>
      <c r="F23" s="4">
        <v>40406</v>
      </c>
      <c r="G23" s="2" t="s">
        <v>129</v>
      </c>
      <c r="H23" s="4">
        <f>F23-(VLOOKUP(F23,$V$6:$X$13,3,TRUE)+(F23-VLOOKUP(F23,$V$6:$X$13,1,TRUE))*VLOOKUP(F23,$V$6:$X$13,2,TRUE))</f>
        <v>33493.599999999999</v>
      </c>
      <c r="I23" s="14">
        <f t="shared" si="1"/>
        <v>44712</v>
      </c>
      <c r="J23" s="14" t="str">
        <f t="shared" ca="1" si="0"/>
        <v>אנא פנה דחוף לחידוש</v>
      </c>
      <c r="K23" s="38">
        <f t="shared" si="2"/>
        <v>9569.6</v>
      </c>
      <c r="L23" s="14" t="str">
        <f t="shared" si="3"/>
        <v>יום שלישי</v>
      </c>
      <c r="M23" s="14" t="str">
        <f t="shared" si="4"/>
        <v>יום שלישי</v>
      </c>
      <c r="N23" s="14">
        <f t="shared" si="5"/>
        <v>44712</v>
      </c>
      <c r="O23" s="35">
        <f>(F23-S23)*T23+U23</f>
        <v>6912.4</v>
      </c>
      <c r="P23" s="35">
        <f>F23-O23</f>
        <v>33493.599999999999</v>
      </c>
      <c r="S23" s="1">
        <f>_xlfn.XLOOKUP(F23,$V$6:$V$13,$V$6:$V$13,,-1)</f>
        <v>40000</v>
      </c>
      <c r="T23" s="1">
        <f>_xlfn.XLOOKUP(F23,$V$6:$V$13,$W$6:$W$13,,-1)</f>
        <v>0.4</v>
      </c>
      <c r="U23" s="1">
        <f>_xlfn.XLOOKUP(F23,$V$6:$V$13,$X$6:$X$13,,-1)</f>
        <v>6750</v>
      </c>
    </row>
    <row r="24" spans="1:21" x14ac:dyDescent="0.3">
      <c r="A24" s="2">
        <v>3322</v>
      </c>
      <c r="B24" s="2" t="s">
        <v>25</v>
      </c>
      <c r="C24" s="2" t="s">
        <v>67</v>
      </c>
      <c r="D24" s="2" t="s">
        <v>110</v>
      </c>
      <c r="E24" s="3">
        <v>44421</v>
      </c>
      <c r="F24" s="4">
        <v>93981</v>
      </c>
      <c r="G24" s="2" t="s">
        <v>129</v>
      </c>
      <c r="H24" s="4">
        <f>F24-(VLOOKUP(F24,$V$6:$X$13,3,TRUE)+(F24-VLOOKUP(F24,$V$6:$X$13,1,TRUE))*VLOOKUP(F24,$V$6:$X$13,2,TRUE))</f>
        <v>65638.600000000006</v>
      </c>
      <c r="I24" s="14">
        <f t="shared" si="1"/>
        <v>44985</v>
      </c>
      <c r="J24" s="14" t="str">
        <f t="shared" ca="1" si="0"/>
        <v>אנא פנה דחוף לחידוש</v>
      </c>
      <c r="K24" s="38">
        <f t="shared" si="2"/>
        <v>18753.885714285716</v>
      </c>
      <c r="L24" s="14" t="str">
        <f t="shared" si="3"/>
        <v>יום שלישי</v>
      </c>
      <c r="M24" s="14" t="str">
        <f t="shared" si="4"/>
        <v>יום שלישי</v>
      </c>
      <c r="N24" s="14">
        <f t="shared" si="5"/>
        <v>44985</v>
      </c>
      <c r="O24" s="35">
        <f>(F24-S24)*T24+U24</f>
        <v>28342.400000000001</v>
      </c>
      <c r="P24" s="35">
        <f>F24-O24</f>
        <v>65638.600000000006</v>
      </c>
      <c r="S24" s="1">
        <f>_xlfn.XLOOKUP(F24,$V$6:$V$13,$V$6:$V$13,,-1)</f>
        <v>40000</v>
      </c>
      <c r="T24" s="1">
        <f>_xlfn.XLOOKUP(F24,$V$6:$V$13,$W$6:$W$13,,-1)</f>
        <v>0.4</v>
      </c>
      <c r="U24" s="1">
        <f>_xlfn.XLOOKUP(F24,$V$6:$V$13,$X$6:$X$13,,-1)</f>
        <v>6750</v>
      </c>
    </row>
    <row r="25" spans="1:21" x14ac:dyDescent="0.3">
      <c r="A25" s="2">
        <v>5639</v>
      </c>
      <c r="B25" s="2" t="s">
        <v>26</v>
      </c>
      <c r="C25" s="2" t="s">
        <v>68</v>
      </c>
      <c r="D25" s="2" t="s">
        <v>111</v>
      </c>
      <c r="E25" s="3">
        <v>44086</v>
      </c>
      <c r="F25" s="4">
        <v>34298</v>
      </c>
      <c r="G25" s="2" t="s">
        <v>130</v>
      </c>
      <c r="H25" s="4">
        <f>F25-(VLOOKUP(F25,$V$6:$X$13,3,TRUE)+(F25-VLOOKUP(F25,$V$6:$X$13,1,TRUE))*VLOOKUP(F25,$V$6:$X$13,2,TRUE))</f>
        <v>29508.6</v>
      </c>
      <c r="I25" s="14">
        <f t="shared" si="1"/>
        <v>44651</v>
      </c>
      <c r="J25" s="14" t="str">
        <f t="shared" ca="1" si="0"/>
        <v>אנא פנה דחוף לחידוש</v>
      </c>
      <c r="K25" s="38">
        <f t="shared" si="2"/>
        <v>8431.028571428571</v>
      </c>
      <c r="L25" s="14" t="str">
        <f t="shared" si="3"/>
        <v>יום חמישי</v>
      </c>
      <c r="M25" s="14" t="str">
        <f t="shared" si="4"/>
        <v>יום חמישי</v>
      </c>
      <c r="N25" s="14">
        <f t="shared" si="5"/>
        <v>44651</v>
      </c>
      <c r="O25" s="35">
        <f>(F25-S25)*T25+U25</f>
        <v>4789.3999999999996</v>
      </c>
      <c r="P25" s="35">
        <f>F25-O25</f>
        <v>29508.6</v>
      </c>
      <c r="S25" s="1">
        <f>_xlfn.XLOOKUP(F25,$V$6:$V$13,$V$6:$V$13,,-1)</f>
        <v>30000</v>
      </c>
      <c r="T25" s="1">
        <f>_xlfn.XLOOKUP(F25,$V$6:$V$13,$W$6:$W$13,,-1)</f>
        <v>0.3</v>
      </c>
      <c r="U25" s="1">
        <f>_xlfn.XLOOKUP(F25,$V$6:$V$13,$X$6:$X$13,,-1)</f>
        <v>3500</v>
      </c>
    </row>
    <row r="26" spans="1:21" x14ac:dyDescent="0.3">
      <c r="A26" s="2">
        <v>6931</v>
      </c>
      <c r="B26" s="2" t="s">
        <v>27</v>
      </c>
      <c r="C26" s="2" t="s">
        <v>69</v>
      </c>
      <c r="D26" s="2" t="s">
        <v>112</v>
      </c>
      <c r="E26" s="3">
        <v>44716</v>
      </c>
      <c r="F26" s="4">
        <v>34974</v>
      </c>
      <c r="G26" s="2" t="s">
        <v>131</v>
      </c>
      <c r="H26" s="4">
        <f>F26-(VLOOKUP(F26,$V$6:$X$13,3,TRUE)+(F26-VLOOKUP(F26,$V$6:$X$13,1,TRUE))*VLOOKUP(F26,$V$6:$X$13,2,TRUE))</f>
        <v>29981.8</v>
      </c>
      <c r="I26" s="14">
        <f t="shared" si="1"/>
        <v>45291</v>
      </c>
      <c r="J26" s="14" t="str">
        <f t="shared" ca="1" si="0"/>
        <v>אנא פנה דחוף לחידוש</v>
      </c>
      <c r="K26" s="38">
        <f t="shared" si="2"/>
        <v>8566.2285714285717</v>
      </c>
      <c r="L26" s="14" t="str">
        <f t="shared" si="3"/>
        <v>יום ראשון</v>
      </c>
      <c r="M26" s="14" t="str">
        <f t="shared" si="4"/>
        <v>יום ראשון</v>
      </c>
      <c r="N26" s="14">
        <f t="shared" si="5"/>
        <v>45291</v>
      </c>
      <c r="O26" s="35">
        <f>(F26-S26)*T26+U26</f>
        <v>4992.2</v>
      </c>
      <c r="P26" s="35">
        <f>F26-O26</f>
        <v>29981.8</v>
      </c>
      <c r="S26" s="1">
        <f>_xlfn.XLOOKUP(F26,$V$6:$V$13,$V$6:$V$13,,-1)</f>
        <v>30000</v>
      </c>
      <c r="T26" s="1">
        <f>_xlfn.XLOOKUP(F26,$V$6:$V$13,$W$6:$W$13,,-1)</f>
        <v>0.3</v>
      </c>
      <c r="U26" s="1">
        <f>_xlfn.XLOOKUP(F26,$V$6:$V$13,$X$6:$X$13,,-1)</f>
        <v>3500</v>
      </c>
    </row>
    <row r="27" spans="1:21" x14ac:dyDescent="0.3">
      <c r="A27" s="2">
        <v>1100</v>
      </c>
      <c r="B27" s="2" t="s">
        <v>28</v>
      </c>
      <c r="C27" s="2" t="s">
        <v>70</v>
      </c>
      <c r="D27" s="2" t="s">
        <v>95</v>
      </c>
      <c r="E27" s="3">
        <v>43776</v>
      </c>
      <c r="F27" s="4">
        <v>37460</v>
      </c>
      <c r="G27" s="2" t="s">
        <v>127</v>
      </c>
      <c r="H27" s="4">
        <f>F27-(VLOOKUP(F27,$V$6:$X$13,3,TRUE)+(F27-VLOOKUP(F27,$V$6:$X$13,1,TRUE))*VLOOKUP(F27,$V$6:$X$13,2,TRUE))</f>
        <v>31599</v>
      </c>
      <c r="I27" s="14">
        <f t="shared" si="1"/>
        <v>44347</v>
      </c>
      <c r="J27" s="14" t="str">
        <f t="shared" ca="1" si="0"/>
        <v>אנא פנה דחוף לחידוש</v>
      </c>
      <c r="K27" s="38">
        <f t="shared" si="2"/>
        <v>9028.2857142857138</v>
      </c>
      <c r="L27" s="14" t="str">
        <f t="shared" si="3"/>
        <v>יום שני</v>
      </c>
      <c r="M27" s="14" t="str">
        <f t="shared" si="4"/>
        <v>יום שני</v>
      </c>
      <c r="N27" s="14">
        <f t="shared" si="5"/>
        <v>44347</v>
      </c>
      <c r="O27" s="35">
        <f>(F27-S27)*T27+U27</f>
        <v>5861</v>
      </c>
      <c r="P27" s="35">
        <f>F27-O27</f>
        <v>31599</v>
      </c>
      <c r="S27" s="1">
        <f>_xlfn.XLOOKUP(F27,$V$6:$V$13,$V$6:$V$13,,-1)</f>
        <v>35000</v>
      </c>
      <c r="T27" s="1">
        <f>_xlfn.XLOOKUP(F27,$V$6:$V$13,$W$6:$W$13,,-1)</f>
        <v>0.35</v>
      </c>
      <c r="U27" s="1">
        <f>_xlfn.XLOOKUP(F27,$V$6:$V$13,$X$6:$X$13,,-1)</f>
        <v>5000</v>
      </c>
    </row>
    <row r="28" spans="1:21" x14ac:dyDescent="0.3">
      <c r="A28" s="2">
        <v>8716</v>
      </c>
      <c r="B28" s="2" t="s">
        <v>29</v>
      </c>
      <c r="C28" s="2" t="s">
        <v>71</v>
      </c>
      <c r="D28" s="2" t="s">
        <v>113</v>
      </c>
      <c r="E28" s="3">
        <v>44648</v>
      </c>
      <c r="F28" s="4">
        <v>91972</v>
      </c>
      <c r="G28" s="2" t="s">
        <v>127</v>
      </c>
      <c r="H28" s="4">
        <f>F28-(VLOOKUP(F28,$V$6:$X$13,3,TRUE)+(F28-VLOOKUP(F28,$V$6:$X$13,1,TRUE))*VLOOKUP(F28,$V$6:$X$13,2,TRUE))</f>
        <v>64433.2</v>
      </c>
      <c r="I28" s="14">
        <f t="shared" si="1"/>
        <v>45199</v>
      </c>
      <c r="J28" s="14" t="str">
        <f t="shared" ca="1" si="0"/>
        <v>אנא פנה דחוף לחידוש</v>
      </c>
      <c r="K28" s="38">
        <f t="shared" si="2"/>
        <v>18409.485714285714</v>
      </c>
      <c r="L28" s="14" t="str">
        <f t="shared" si="3"/>
        <v>שבת</v>
      </c>
      <c r="M28" s="14" t="str">
        <f t="shared" si="4"/>
        <v>המועד יחול בתחילת השבוע</v>
      </c>
      <c r="N28" s="14">
        <f t="shared" si="5"/>
        <v>45199</v>
      </c>
      <c r="O28" s="35">
        <f>(F28-S28)*T28+U28</f>
        <v>27538.800000000003</v>
      </c>
      <c r="P28" s="35">
        <f>F28-O28</f>
        <v>64433.2</v>
      </c>
      <c r="S28" s="1">
        <f>_xlfn.XLOOKUP(F28,$V$6:$V$13,$V$6:$V$13,,-1)</f>
        <v>40000</v>
      </c>
      <c r="T28" s="1">
        <f>_xlfn.XLOOKUP(F28,$V$6:$V$13,$W$6:$W$13,,-1)</f>
        <v>0.4</v>
      </c>
      <c r="U28" s="1">
        <f>_xlfn.XLOOKUP(F28,$V$6:$V$13,$X$6:$X$13,,-1)</f>
        <v>6750</v>
      </c>
    </row>
    <row r="29" spans="1:21" x14ac:dyDescent="0.3">
      <c r="A29" s="2">
        <v>2100</v>
      </c>
      <c r="B29" s="2" t="s">
        <v>30</v>
      </c>
      <c r="C29" s="2" t="s">
        <v>72</v>
      </c>
      <c r="D29" s="2" t="s">
        <v>114</v>
      </c>
      <c r="E29" s="3">
        <v>44529</v>
      </c>
      <c r="F29" s="4">
        <v>45647</v>
      </c>
      <c r="G29" s="2" t="s">
        <v>130</v>
      </c>
      <c r="H29" s="4">
        <f>F29-(VLOOKUP(F29,$V$6:$X$13,3,TRUE)+(F29-VLOOKUP(F29,$V$6:$X$13,1,TRUE))*VLOOKUP(F29,$V$6:$X$13,2,TRUE))</f>
        <v>36638.199999999997</v>
      </c>
      <c r="I29" s="14">
        <f t="shared" si="1"/>
        <v>45077</v>
      </c>
      <c r="J29" s="14" t="str">
        <f t="shared" ca="1" si="0"/>
        <v>אנא פנה דחוף לחידוש</v>
      </c>
      <c r="K29" s="38">
        <f t="shared" si="2"/>
        <v>10468.057142857142</v>
      </c>
      <c r="L29" s="14" t="str">
        <f t="shared" si="3"/>
        <v>יום רביעי</v>
      </c>
      <c r="M29" s="14" t="str">
        <f t="shared" si="4"/>
        <v>יום רביעי</v>
      </c>
      <c r="N29" s="14">
        <f t="shared" si="5"/>
        <v>45077</v>
      </c>
      <c r="O29" s="35">
        <f>(F29-S29)*T29+U29</f>
        <v>9008.7999999999993</v>
      </c>
      <c r="P29" s="35">
        <f>F29-O29</f>
        <v>36638.199999999997</v>
      </c>
      <c r="S29" s="1">
        <f>_xlfn.XLOOKUP(F29,$V$6:$V$13,$V$6:$V$13,,-1)</f>
        <v>40000</v>
      </c>
      <c r="T29" s="1">
        <f>_xlfn.XLOOKUP(F29,$V$6:$V$13,$W$6:$W$13,,-1)</f>
        <v>0.4</v>
      </c>
      <c r="U29" s="1">
        <f>_xlfn.XLOOKUP(F29,$V$6:$V$13,$X$6:$X$13,,-1)</f>
        <v>6750</v>
      </c>
    </row>
    <row r="30" spans="1:21" x14ac:dyDescent="0.3">
      <c r="A30" s="2">
        <v>2557</v>
      </c>
      <c r="B30" s="2" t="s">
        <v>31</v>
      </c>
      <c r="C30" s="2" t="s">
        <v>73</v>
      </c>
      <c r="D30" s="2" t="s">
        <v>115</v>
      </c>
      <c r="E30" s="3">
        <v>44724</v>
      </c>
      <c r="F30" s="4">
        <v>38276</v>
      </c>
      <c r="G30" s="2" t="s">
        <v>128</v>
      </c>
      <c r="H30" s="4">
        <f>F30-(VLOOKUP(F30,$V$6:$X$13,3,TRUE)+(F30-VLOOKUP(F30,$V$6:$X$13,1,TRUE))*VLOOKUP(F30,$V$6:$X$13,2,TRUE))</f>
        <v>32129.4</v>
      </c>
      <c r="I30" s="14">
        <f t="shared" si="1"/>
        <v>45291</v>
      </c>
      <c r="J30" s="14" t="str">
        <f t="shared" ca="1" si="0"/>
        <v>אנא פנה דחוף לחידוש</v>
      </c>
      <c r="K30" s="38">
        <f t="shared" si="2"/>
        <v>9179.8285714285721</v>
      </c>
      <c r="L30" s="14" t="str">
        <f t="shared" si="3"/>
        <v>יום ראשון</v>
      </c>
      <c r="M30" s="14" t="str">
        <f t="shared" si="4"/>
        <v>יום ראשון</v>
      </c>
      <c r="N30" s="14">
        <f t="shared" si="5"/>
        <v>45291</v>
      </c>
      <c r="O30" s="35">
        <f>(F30-S30)*T30+U30</f>
        <v>6146.6</v>
      </c>
      <c r="P30" s="35">
        <f>F30-O30</f>
        <v>32129.4</v>
      </c>
      <c r="S30" s="1">
        <f>_xlfn.XLOOKUP(F30,$V$6:$V$13,$V$6:$V$13,,-1)</f>
        <v>35000</v>
      </c>
      <c r="T30" s="1">
        <f>_xlfn.XLOOKUP(F30,$V$6:$V$13,$W$6:$W$13,,-1)</f>
        <v>0.35</v>
      </c>
      <c r="U30" s="1">
        <f>_xlfn.XLOOKUP(F30,$V$6:$V$13,$X$6:$X$13,,-1)</f>
        <v>5000</v>
      </c>
    </row>
    <row r="31" spans="1:21" x14ac:dyDescent="0.3">
      <c r="A31" s="2">
        <v>8177</v>
      </c>
      <c r="B31" s="2" t="s">
        <v>32</v>
      </c>
      <c r="C31" s="2" t="s">
        <v>74</v>
      </c>
      <c r="D31" s="2" t="s">
        <v>116</v>
      </c>
      <c r="E31" s="3">
        <v>43873</v>
      </c>
      <c r="F31" s="4">
        <v>71095</v>
      </c>
      <c r="G31" s="2" t="s">
        <v>128</v>
      </c>
      <c r="H31" s="4">
        <f>F31-(VLOOKUP(F31,$V$6:$X$13,3,TRUE)+(F31-VLOOKUP(F31,$V$6:$X$13,1,TRUE))*VLOOKUP(F31,$V$6:$X$13,2,TRUE))</f>
        <v>51907</v>
      </c>
      <c r="I31" s="14">
        <f t="shared" si="1"/>
        <v>44439</v>
      </c>
      <c r="J31" s="14" t="str">
        <f t="shared" ca="1" si="0"/>
        <v>אנא פנה דחוף לחידוש</v>
      </c>
      <c r="K31" s="38">
        <f t="shared" si="2"/>
        <v>14830.571428571429</v>
      </c>
      <c r="L31" s="14" t="str">
        <f t="shared" si="3"/>
        <v>יום שלישי</v>
      </c>
      <c r="M31" s="14" t="str">
        <f t="shared" si="4"/>
        <v>יום שלישי</v>
      </c>
      <c r="N31" s="14">
        <f t="shared" si="5"/>
        <v>44439</v>
      </c>
      <c r="O31" s="35">
        <f>(F31-S31)*T31+U31</f>
        <v>19188</v>
      </c>
      <c r="P31" s="35">
        <f>F31-O31</f>
        <v>51907</v>
      </c>
      <c r="S31" s="1">
        <f>_xlfn.XLOOKUP(F31,$V$6:$V$13,$V$6:$V$13,,-1)</f>
        <v>40000</v>
      </c>
      <c r="T31" s="1">
        <f>_xlfn.XLOOKUP(F31,$V$6:$V$13,$W$6:$W$13,,-1)</f>
        <v>0.4</v>
      </c>
      <c r="U31" s="1">
        <f>_xlfn.XLOOKUP(F31,$V$6:$V$13,$X$6:$X$13,,-1)</f>
        <v>6750</v>
      </c>
    </row>
    <row r="32" spans="1:21" x14ac:dyDescent="0.3">
      <c r="A32" s="2">
        <v>9043</v>
      </c>
      <c r="B32" s="2" t="s">
        <v>33</v>
      </c>
      <c r="C32" s="2" t="s">
        <v>75</v>
      </c>
      <c r="D32" s="2" t="s">
        <v>117</v>
      </c>
      <c r="E32" s="3">
        <v>45039</v>
      </c>
      <c r="F32" s="4">
        <v>35185</v>
      </c>
      <c r="G32" s="2" t="s">
        <v>129</v>
      </c>
      <c r="H32" s="4">
        <f>F32-(VLOOKUP(F32,$V$6:$X$13,3,TRUE)+(F32-VLOOKUP(F32,$V$6:$X$13,1,TRUE))*VLOOKUP(F32,$V$6:$X$13,2,TRUE))</f>
        <v>30120.25</v>
      </c>
      <c r="I32" s="14">
        <f t="shared" si="1"/>
        <v>45596</v>
      </c>
      <c r="J32" s="14" t="str">
        <f t="shared" ca="1" si="0"/>
        <v>אנא פנה דחוף לחידוש</v>
      </c>
      <c r="K32" s="38">
        <f t="shared" si="2"/>
        <v>8605.7857142857138</v>
      </c>
      <c r="L32" s="14" t="str">
        <f t="shared" si="3"/>
        <v>יום חמישי</v>
      </c>
      <c r="M32" s="14" t="str">
        <f t="shared" si="4"/>
        <v>יום חמישי</v>
      </c>
      <c r="N32" s="14">
        <f t="shared" si="5"/>
        <v>45596</v>
      </c>
      <c r="O32" s="35">
        <f>(F32-S32)*T32+U32</f>
        <v>5064.75</v>
      </c>
      <c r="P32" s="35">
        <f>F32-O32</f>
        <v>30120.25</v>
      </c>
      <c r="S32" s="1">
        <f>_xlfn.XLOOKUP(F32,$V$6:$V$13,$V$6:$V$13,,-1)</f>
        <v>35000</v>
      </c>
      <c r="T32" s="1">
        <f>_xlfn.XLOOKUP(F32,$V$6:$V$13,$W$6:$W$13,,-1)</f>
        <v>0.35</v>
      </c>
      <c r="U32" s="1">
        <f>_xlfn.XLOOKUP(F32,$V$6:$V$13,$X$6:$X$13,,-1)</f>
        <v>5000</v>
      </c>
    </row>
    <row r="33" spans="1:21" x14ac:dyDescent="0.3">
      <c r="A33" s="2">
        <v>2940</v>
      </c>
      <c r="B33" s="2" t="s">
        <v>34</v>
      </c>
      <c r="C33" s="2" t="s">
        <v>76</v>
      </c>
      <c r="D33" s="2" t="s">
        <v>118</v>
      </c>
      <c r="E33" s="3">
        <v>44814</v>
      </c>
      <c r="F33" s="4">
        <v>34103</v>
      </c>
      <c r="G33" s="2" t="s">
        <v>127</v>
      </c>
      <c r="H33" s="4">
        <f>F33-(VLOOKUP(F33,$V$6:$X$13,3,TRUE)+(F33-VLOOKUP(F33,$V$6:$X$13,1,TRUE))*VLOOKUP(F33,$V$6:$X$13,2,TRUE))</f>
        <v>29372.1</v>
      </c>
      <c r="I33" s="14">
        <f t="shared" si="1"/>
        <v>45382</v>
      </c>
      <c r="J33" s="14" t="str">
        <f t="shared" ca="1" si="0"/>
        <v>אנא פנה דחוף לחידוש</v>
      </c>
      <c r="K33" s="38">
        <f t="shared" si="2"/>
        <v>8392.028571428571</v>
      </c>
      <c r="L33" s="14" t="str">
        <f t="shared" si="3"/>
        <v>יום ראשון</v>
      </c>
      <c r="M33" s="14" t="str">
        <f t="shared" si="4"/>
        <v>יום ראשון</v>
      </c>
      <c r="N33" s="14">
        <f t="shared" si="5"/>
        <v>45382</v>
      </c>
      <c r="O33" s="35">
        <f>(F33-S33)*T33+U33</f>
        <v>4730.8999999999996</v>
      </c>
      <c r="P33" s="35">
        <f>F33-O33</f>
        <v>29372.1</v>
      </c>
      <c r="S33" s="1">
        <f>_xlfn.XLOOKUP(F33,$V$6:$V$13,$V$6:$V$13,,-1)</f>
        <v>30000</v>
      </c>
      <c r="T33" s="1">
        <f>_xlfn.XLOOKUP(F33,$V$6:$V$13,$W$6:$W$13,,-1)</f>
        <v>0.3</v>
      </c>
      <c r="U33" s="1">
        <f>_xlfn.XLOOKUP(F33,$V$6:$V$13,$X$6:$X$13,,-1)</f>
        <v>3500</v>
      </c>
    </row>
    <row r="34" spans="1:21" x14ac:dyDescent="0.3">
      <c r="A34" s="2">
        <v>6325</v>
      </c>
      <c r="B34" s="2" t="s">
        <v>32</v>
      </c>
      <c r="C34" s="2" t="s">
        <v>77</v>
      </c>
      <c r="D34" s="2" t="s">
        <v>119</v>
      </c>
      <c r="E34" s="3">
        <v>44994</v>
      </c>
      <c r="F34" s="4">
        <v>33853</v>
      </c>
      <c r="G34" s="2" t="s">
        <v>130</v>
      </c>
      <c r="H34" s="4">
        <f>F34-(VLOOKUP(F34,$V$6:$X$13,3,TRUE)+(F34-VLOOKUP(F34,$V$6:$X$13,1,TRUE))*VLOOKUP(F34,$V$6:$X$13,2,TRUE))</f>
        <v>29197.1</v>
      </c>
      <c r="I34" s="14">
        <f t="shared" si="1"/>
        <v>45565</v>
      </c>
      <c r="J34" s="14" t="str">
        <f t="shared" ref="J34:J51" ca="1" si="7">IF(I34&lt;TODAY(),$L$61,L34)</f>
        <v>אנא פנה דחוף לחידוש</v>
      </c>
      <c r="K34" s="38">
        <f t="shared" si="2"/>
        <v>8342.028571428571</v>
      </c>
      <c r="L34" s="14" t="str">
        <f t="shared" si="3"/>
        <v>יום שני</v>
      </c>
      <c r="M34" s="14" t="str">
        <f t="shared" si="4"/>
        <v>יום שני</v>
      </c>
      <c r="N34" s="14">
        <f t="shared" si="5"/>
        <v>45565</v>
      </c>
      <c r="O34" s="35">
        <f>(F34-S34)*T34+U34</f>
        <v>4655.8999999999996</v>
      </c>
      <c r="P34" s="35">
        <f>F34-O34</f>
        <v>29197.1</v>
      </c>
      <c r="S34" s="1">
        <f>_xlfn.XLOOKUP(F34,$V$6:$V$13,$V$6:$V$13,,-1)</f>
        <v>30000</v>
      </c>
      <c r="T34" s="1">
        <f>_xlfn.XLOOKUP(F34,$V$6:$V$13,$W$6:$W$13,,-1)</f>
        <v>0.3</v>
      </c>
      <c r="U34" s="1">
        <f>_xlfn.XLOOKUP(F34,$V$6:$V$13,$X$6:$X$13,,-1)</f>
        <v>3500</v>
      </c>
    </row>
    <row r="35" spans="1:21" x14ac:dyDescent="0.3">
      <c r="A35" s="2">
        <v>3363</v>
      </c>
      <c r="B35" s="2" t="s">
        <v>11</v>
      </c>
      <c r="C35" s="2" t="s">
        <v>78</v>
      </c>
      <c r="D35" s="2" t="s">
        <v>120</v>
      </c>
      <c r="E35" s="3">
        <v>44300</v>
      </c>
      <c r="F35" s="4">
        <v>17796</v>
      </c>
      <c r="G35" s="2" t="s">
        <v>131</v>
      </c>
      <c r="H35" s="4">
        <f>F35-(VLOOKUP(F35,$V$6:$X$13,3,TRUE)+(F35-VLOOKUP(F35,$V$6:$X$13,1,TRUE))*VLOOKUP(F35,$V$6:$X$13,2,TRUE))</f>
        <v>16876.599999999999</v>
      </c>
      <c r="I35" s="14">
        <f t="shared" si="1"/>
        <v>44865</v>
      </c>
      <c r="J35" s="14" t="str">
        <f t="shared" ca="1" si="7"/>
        <v>אנא פנה דחוף לחידוש</v>
      </c>
      <c r="K35" s="38">
        <f t="shared" si="2"/>
        <v>4821.8857142857141</v>
      </c>
      <c r="L35" s="14" t="str">
        <f t="shared" si="3"/>
        <v>יום שני</v>
      </c>
      <c r="M35" s="14" t="str">
        <f t="shared" si="4"/>
        <v>יום שני</v>
      </c>
      <c r="N35" s="14">
        <f t="shared" si="5"/>
        <v>44865</v>
      </c>
      <c r="O35" s="35">
        <f>(F35-S35)*T35+U35</f>
        <v>919.4</v>
      </c>
      <c r="P35" s="35">
        <f>F35-O35</f>
        <v>16876.599999999999</v>
      </c>
      <c r="S35" s="1">
        <f>_xlfn.XLOOKUP(F35,$V$6:$V$13,$V$6:$V$13,,-1)</f>
        <v>15000</v>
      </c>
      <c r="T35" s="1">
        <f>_xlfn.XLOOKUP(F35,$V$6:$V$13,$W$6:$W$13,,-1)</f>
        <v>0.15</v>
      </c>
      <c r="U35" s="1">
        <f>_xlfn.XLOOKUP(F35,$V$6:$V$13,$X$6:$X$13,,-1)</f>
        <v>500</v>
      </c>
    </row>
    <row r="36" spans="1:21" x14ac:dyDescent="0.3">
      <c r="A36" s="2">
        <v>9371</v>
      </c>
      <c r="B36" s="2" t="s">
        <v>35</v>
      </c>
      <c r="C36" s="2" t="s">
        <v>79</v>
      </c>
      <c r="D36" s="2" t="s">
        <v>121</v>
      </c>
      <c r="E36" s="3">
        <v>44047</v>
      </c>
      <c r="F36" s="4">
        <v>67184</v>
      </c>
      <c r="G36" s="2" t="s">
        <v>129</v>
      </c>
      <c r="H36" s="4">
        <f>F36-(VLOOKUP(F36,$V$6:$X$13,3,TRUE)+(F36-VLOOKUP(F36,$V$6:$X$13,1,TRUE))*VLOOKUP(F36,$V$6:$X$13,2,TRUE))</f>
        <v>49560.4</v>
      </c>
      <c r="I36" s="14">
        <f t="shared" si="1"/>
        <v>44620</v>
      </c>
      <c r="J36" s="14" t="str">
        <f t="shared" ca="1" si="7"/>
        <v>אנא פנה דחוף לחידוש</v>
      </c>
      <c r="K36" s="38">
        <f t="shared" si="2"/>
        <v>14160.114285714286</v>
      </c>
      <c r="L36" s="14" t="str">
        <f t="shared" si="3"/>
        <v>יום שני</v>
      </c>
      <c r="M36" s="14" t="str">
        <f t="shared" si="4"/>
        <v>יום שני</v>
      </c>
      <c r="N36" s="14">
        <f t="shared" si="5"/>
        <v>44620</v>
      </c>
      <c r="O36" s="35">
        <f>(F36-S36)*T36+U36</f>
        <v>17623.599999999999</v>
      </c>
      <c r="P36" s="35">
        <f>F36-O36</f>
        <v>49560.4</v>
      </c>
      <c r="S36" s="1">
        <f>_xlfn.XLOOKUP(F36,$V$6:$V$13,$V$6:$V$13,,-1)</f>
        <v>40000</v>
      </c>
      <c r="T36" s="1">
        <f>_xlfn.XLOOKUP(F36,$V$6:$V$13,$W$6:$W$13,,-1)</f>
        <v>0.4</v>
      </c>
      <c r="U36" s="1">
        <f>_xlfn.XLOOKUP(F36,$V$6:$V$13,$X$6:$X$13,,-1)</f>
        <v>6750</v>
      </c>
    </row>
    <row r="37" spans="1:21" x14ac:dyDescent="0.3">
      <c r="A37" s="2">
        <v>6909</v>
      </c>
      <c r="B37" s="2" t="s">
        <v>36</v>
      </c>
      <c r="C37" s="2" t="s">
        <v>80</v>
      </c>
      <c r="D37" s="2" t="s">
        <v>134</v>
      </c>
      <c r="E37" s="3">
        <v>45005</v>
      </c>
      <c r="F37" s="4">
        <v>25505</v>
      </c>
      <c r="G37" s="2" t="s">
        <v>131</v>
      </c>
      <c r="H37" s="4">
        <f>F37-(VLOOKUP(F37,$V$6:$X$13,3,TRUE)+(F37-VLOOKUP(F37,$V$6:$X$13,1,TRUE))*VLOOKUP(F37,$V$6:$X$13,2,TRUE))</f>
        <v>23128.75</v>
      </c>
      <c r="I37" s="14">
        <f t="shared" si="1"/>
        <v>45565</v>
      </c>
      <c r="J37" s="14" t="str">
        <f t="shared" ca="1" si="7"/>
        <v>אנא פנה דחוף לחידוש</v>
      </c>
      <c r="K37" s="38">
        <f t="shared" si="2"/>
        <v>6608.2142857142853</v>
      </c>
      <c r="L37" s="14" t="str">
        <f t="shared" si="3"/>
        <v>יום שני</v>
      </c>
      <c r="M37" s="14" t="str">
        <f t="shared" si="4"/>
        <v>יום שני</v>
      </c>
      <c r="N37" s="14">
        <f t="shared" si="5"/>
        <v>45565</v>
      </c>
      <c r="O37" s="35">
        <f>(F37-S37)*T37+U37</f>
        <v>2376.25</v>
      </c>
      <c r="P37" s="35">
        <f>F37-O37</f>
        <v>23128.75</v>
      </c>
      <c r="S37" s="1">
        <f>_xlfn.XLOOKUP(F37,$V$6:$V$13,$V$6:$V$13,,-1)</f>
        <v>25000</v>
      </c>
      <c r="T37" s="1">
        <f>_xlfn.XLOOKUP(F37,$V$6:$V$13,$W$6:$W$13,,-1)</f>
        <v>0.25</v>
      </c>
      <c r="U37" s="1">
        <f>_xlfn.XLOOKUP(F37,$V$6:$V$13,$X$6:$X$13,,-1)</f>
        <v>2250</v>
      </c>
    </row>
    <row r="38" spans="1:21" x14ac:dyDescent="0.3">
      <c r="A38" s="2">
        <v>4367</v>
      </c>
      <c r="B38" s="2" t="s">
        <v>31</v>
      </c>
      <c r="C38" s="2" t="s">
        <v>48</v>
      </c>
      <c r="D38" s="2" t="s">
        <v>122</v>
      </c>
      <c r="E38" s="3">
        <v>45540</v>
      </c>
      <c r="F38" s="4">
        <v>32359</v>
      </c>
      <c r="G38" s="2" t="s">
        <v>127</v>
      </c>
      <c r="H38" s="4">
        <f>F38-(VLOOKUP(F38,$V$6:$X$13,3,TRUE)+(F38-VLOOKUP(F38,$V$6:$X$13,1,TRUE))*VLOOKUP(F38,$V$6:$X$13,2,TRUE))</f>
        <v>28151.3</v>
      </c>
      <c r="I38" s="14">
        <f t="shared" si="1"/>
        <v>46112</v>
      </c>
      <c r="J38" s="14" t="str">
        <f t="shared" ca="1" si="7"/>
        <v>יום שלישי</v>
      </c>
      <c r="K38" s="38">
        <f t="shared" si="2"/>
        <v>8043.2285714285708</v>
      </c>
      <c r="L38" s="14" t="str">
        <f t="shared" si="3"/>
        <v>יום שלישי</v>
      </c>
      <c r="M38" s="14" t="str">
        <f t="shared" si="4"/>
        <v>יום שלישי</v>
      </c>
      <c r="N38" s="14">
        <f t="shared" si="5"/>
        <v>46112</v>
      </c>
      <c r="O38" s="35">
        <f>(F38-S38)*T38+U38</f>
        <v>4207.7</v>
      </c>
      <c r="P38" s="35">
        <f>F38-O38</f>
        <v>28151.3</v>
      </c>
      <c r="S38" s="1">
        <f>_xlfn.XLOOKUP(F38,$V$6:$V$13,$V$6:$V$13,,-1)</f>
        <v>30000</v>
      </c>
      <c r="T38" s="1">
        <f>_xlfn.XLOOKUP(F38,$V$6:$V$13,$W$6:$W$13,,-1)</f>
        <v>0.3</v>
      </c>
      <c r="U38" s="1">
        <f>_xlfn.XLOOKUP(F38,$V$6:$V$13,$X$6:$X$13,,-1)</f>
        <v>3500</v>
      </c>
    </row>
    <row r="39" spans="1:21" x14ac:dyDescent="0.3">
      <c r="A39" s="2">
        <v>8192</v>
      </c>
      <c r="B39" s="2" t="s">
        <v>37</v>
      </c>
      <c r="C39" s="2" t="s">
        <v>81</v>
      </c>
      <c r="D39" s="2" t="s">
        <v>99</v>
      </c>
      <c r="E39" s="3">
        <v>45488</v>
      </c>
      <c r="F39" s="4">
        <v>71321</v>
      </c>
      <c r="G39" s="2" t="s">
        <v>128</v>
      </c>
      <c r="H39" s="4">
        <f>F39-(VLOOKUP(F39,$V$6:$X$13,3,TRUE)+(F39-VLOOKUP(F39,$V$6:$X$13,1,TRUE))*VLOOKUP(F39,$V$6:$X$13,2,TRUE))</f>
        <v>52042.6</v>
      </c>
      <c r="I39" s="14">
        <f t="shared" si="1"/>
        <v>46053</v>
      </c>
      <c r="J39" s="14" t="str">
        <f t="shared" ca="1" si="7"/>
        <v>אנא פנה דחוף לחידוש</v>
      </c>
      <c r="K39" s="38">
        <f t="shared" si="2"/>
        <v>14869.314285714285</v>
      </c>
      <c r="L39" s="14" t="str">
        <f t="shared" si="3"/>
        <v>שבת</v>
      </c>
      <c r="M39" s="14" t="str">
        <f t="shared" si="4"/>
        <v>המועד יחול בתחילת השבוע</v>
      </c>
      <c r="N39" s="14">
        <f t="shared" si="5"/>
        <v>46053</v>
      </c>
      <c r="O39" s="35">
        <f>(F39-S39)*T39+U39</f>
        <v>19278.400000000001</v>
      </c>
      <c r="P39" s="35">
        <f>F39-O39</f>
        <v>52042.6</v>
      </c>
      <c r="S39" s="1">
        <f>_xlfn.XLOOKUP(F39,$V$6:$V$13,$V$6:$V$13,,-1)</f>
        <v>40000</v>
      </c>
      <c r="T39" s="1">
        <f>_xlfn.XLOOKUP(F39,$V$6:$V$13,$W$6:$W$13,,-1)</f>
        <v>0.4</v>
      </c>
      <c r="U39" s="1">
        <f>_xlfn.XLOOKUP(F39,$V$6:$V$13,$X$6:$X$13,,-1)</f>
        <v>6750</v>
      </c>
    </row>
    <row r="40" spans="1:21" x14ac:dyDescent="0.3">
      <c r="A40" s="2">
        <v>8345</v>
      </c>
      <c r="B40" s="2" t="s">
        <v>28</v>
      </c>
      <c r="C40" s="2" t="s">
        <v>82</v>
      </c>
      <c r="D40" s="2" t="s">
        <v>99</v>
      </c>
      <c r="E40" s="3">
        <v>45171</v>
      </c>
      <c r="F40" s="4">
        <v>81110</v>
      </c>
      <c r="G40" s="2" t="s">
        <v>128</v>
      </c>
      <c r="H40" s="4">
        <f>F40-(VLOOKUP(F40,$V$6:$X$13,3,TRUE)+(F40-VLOOKUP(F40,$V$6:$X$13,1,TRUE))*VLOOKUP(F40,$V$6:$X$13,2,TRUE))</f>
        <v>57916</v>
      </c>
      <c r="I40" s="14">
        <f t="shared" si="1"/>
        <v>45747</v>
      </c>
      <c r="J40" s="14" t="str">
        <f t="shared" ca="1" si="7"/>
        <v>אנא פנה דחוף לחידוש</v>
      </c>
      <c r="K40" s="38">
        <f t="shared" si="2"/>
        <v>16547.428571428572</v>
      </c>
      <c r="L40" s="14" t="str">
        <f t="shared" si="3"/>
        <v>יום שני</v>
      </c>
      <c r="M40" s="14" t="str">
        <f t="shared" si="4"/>
        <v>יום שני</v>
      </c>
      <c r="N40" s="14">
        <f t="shared" si="5"/>
        <v>45747</v>
      </c>
      <c r="O40" s="35">
        <f>(F40-S40)*T40+U40</f>
        <v>23194</v>
      </c>
      <c r="P40" s="35">
        <f>F40-O40</f>
        <v>57916</v>
      </c>
      <c r="S40" s="1">
        <f>_xlfn.XLOOKUP(F40,$V$6:$V$13,$V$6:$V$13,,-1)</f>
        <v>40000</v>
      </c>
      <c r="T40" s="1">
        <f>_xlfn.XLOOKUP(F40,$V$6:$V$13,$W$6:$W$13,,-1)</f>
        <v>0.4</v>
      </c>
      <c r="U40" s="1">
        <f>_xlfn.XLOOKUP(F40,$V$6:$V$13,$X$6:$X$13,,-1)</f>
        <v>6750</v>
      </c>
    </row>
    <row r="41" spans="1:21" x14ac:dyDescent="0.3">
      <c r="A41" s="2">
        <v>4957</v>
      </c>
      <c r="B41" s="2" t="s">
        <v>38</v>
      </c>
      <c r="C41" s="2" t="s">
        <v>83</v>
      </c>
      <c r="D41" s="2" t="s">
        <v>114</v>
      </c>
      <c r="E41" s="3">
        <v>44581</v>
      </c>
      <c r="F41" s="4">
        <v>66042</v>
      </c>
      <c r="G41" s="2" t="s">
        <v>131</v>
      </c>
      <c r="H41" s="4">
        <f>F41-(VLOOKUP(F41,$V$6:$X$13,3,TRUE)+(F41-VLOOKUP(F41,$V$6:$X$13,1,TRUE))*VLOOKUP(F41,$V$6:$X$13,2,TRUE))</f>
        <v>48875.199999999997</v>
      </c>
      <c r="I41" s="14">
        <f t="shared" si="1"/>
        <v>45138</v>
      </c>
      <c r="J41" s="14" t="str">
        <f t="shared" ca="1" si="7"/>
        <v>אנא פנה דחוף לחידוש</v>
      </c>
      <c r="K41" s="38">
        <f t="shared" si="2"/>
        <v>13964.342857142856</v>
      </c>
      <c r="L41" s="14" t="str">
        <f t="shared" si="3"/>
        <v>יום שני</v>
      </c>
      <c r="M41" s="14" t="str">
        <f t="shared" si="4"/>
        <v>יום שני</v>
      </c>
      <c r="N41" s="14">
        <f t="shared" si="5"/>
        <v>45138</v>
      </c>
      <c r="O41" s="35">
        <f>(F41-S41)*T41+U41</f>
        <v>17166.800000000003</v>
      </c>
      <c r="P41" s="35">
        <f>F41-O41</f>
        <v>48875.199999999997</v>
      </c>
      <c r="S41" s="1">
        <f>_xlfn.XLOOKUP(F41,$V$6:$V$13,$V$6:$V$13,,-1)</f>
        <v>40000</v>
      </c>
      <c r="T41" s="1">
        <f>_xlfn.XLOOKUP(F41,$V$6:$V$13,$W$6:$W$13,,-1)</f>
        <v>0.4</v>
      </c>
      <c r="U41" s="1">
        <f>_xlfn.XLOOKUP(F41,$V$6:$V$13,$X$6:$X$13,,-1)</f>
        <v>6750</v>
      </c>
    </row>
    <row r="42" spans="1:21" x14ac:dyDescent="0.3">
      <c r="A42" s="2">
        <v>4884</v>
      </c>
      <c r="B42" s="2" t="s">
        <v>39</v>
      </c>
      <c r="C42" s="2" t="s">
        <v>84</v>
      </c>
      <c r="D42" s="2" t="s">
        <v>113</v>
      </c>
      <c r="E42" s="3">
        <v>44873</v>
      </c>
      <c r="F42" s="4">
        <v>95922</v>
      </c>
      <c r="G42" s="2" t="s">
        <v>127</v>
      </c>
      <c r="H42" s="4">
        <f>F42-(VLOOKUP(F42,$V$6:$X$13,3,TRUE)+(F42-VLOOKUP(F42,$V$6:$X$13,1,TRUE))*VLOOKUP(F42,$V$6:$X$13,2,TRUE))</f>
        <v>66803.199999999997</v>
      </c>
      <c r="I42" s="14">
        <f t="shared" si="1"/>
        <v>45443</v>
      </c>
      <c r="J42" s="14" t="str">
        <f t="shared" ca="1" si="7"/>
        <v>אנא פנה דחוף לחידוש</v>
      </c>
      <c r="K42" s="38">
        <f t="shared" si="2"/>
        <v>19086.62857142857</v>
      </c>
      <c r="L42" s="14" t="str">
        <f t="shared" si="3"/>
        <v>יום שישי</v>
      </c>
      <c r="M42" s="14" t="str">
        <f t="shared" si="4"/>
        <v>המועד יחול בתחילת השבוע</v>
      </c>
      <c r="N42" s="14">
        <f t="shared" si="5"/>
        <v>45443</v>
      </c>
      <c r="O42" s="35">
        <f>(F42-S42)*T42+U42</f>
        <v>29118.800000000003</v>
      </c>
      <c r="P42" s="35">
        <f>F42-O42</f>
        <v>66803.199999999997</v>
      </c>
      <c r="S42" s="1">
        <f>_xlfn.XLOOKUP(F42,$V$6:$V$13,$V$6:$V$13,,-1)</f>
        <v>40000</v>
      </c>
      <c r="T42" s="1">
        <f>_xlfn.XLOOKUP(F42,$V$6:$V$13,$W$6:$W$13,,-1)</f>
        <v>0.4</v>
      </c>
      <c r="U42" s="1">
        <f>_xlfn.XLOOKUP(F42,$V$6:$V$13,$X$6:$X$13,,-1)</f>
        <v>6750</v>
      </c>
    </row>
    <row r="43" spans="1:21" x14ac:dyDescent="0.3">
      <c r="A43" s="2">
        <v>2962</v>
      </c>
      <c r="B43" s="2" t="s">
        <v>40</v>
      </c>
      <c r="C43" s="2" t="s">
        <v>85</v>
      </c>
      <c r="D43" s="2" t="s">
        <v>112</v>
      </c>
      <c r="E43" s="3">
        <v>45188</v>
      </c>
      <c r="F43" s="4">
        <v>34222</v>
      </c>
      <c r="G43" s="2" t="s">
        <v>131</v>
      </c>
      <c r="H43" s="4">
        <f>F43-(VLOOKUP(F43,$V$6:$X$13,3,TRUE)+(F43-VLOOKUP(F43,$V$6:$X$13,1,TRUE))*VLOOKUP(F43,$V$6:$X$13,2,TRUE))</f>
        <v>29455.4</v>
      </c>
      <c r="I43" s="14">
        <f t="shared" si="1"/>
        <v>45747</v>
      </c>
      <c r="J43" s="14" t="str">
        <f t="shared" ca="1" si="7"/>
        <v>אנא פנה דחוף לחידוש</v>
      </c>
      <c r="K43" s="38">
        <f t="shared" si="2"/>
        <v>8415.8285714285721</v>
      </c>
      <c r="L43" s="14" t="str">
        <f t="shared" si="3"/>
        <v>יום שני</v>
      </c>
      <c r="M43" s="14" t="str">
        <f t="shared" si="4"/>
        <v>יום שני</v>
      </c>
      <c r="N43" s="14">
        <f t="shared" si="5"/>
        <v>45747</v>
      </c>
      <c r="O43" s="35">
        <f>(F43-S43)*T43+U43</f>
        <v>4766.6000000000004</v>
      </c>
      <c r="P43" s="35">
        <f>F43-O43</f>
        <v>29455.4</v>
      </c>
      <c r="S43" s="1">
        <f>_xlfn.XLOOKUP(F43,$V$6:$V$13,$V$6:$V$13,,-1)</f>
        <v>30000</v>
      </c>
      <c r="T43" s="1">
        <f>_xlfn.XLOOKUP(F43,$V$6:$V$13,$W$6:$W$13,,-1)</f>
        <v>0.3</v>
      </c>
      <c r="U43" s="1">
        <f>_xlfn.XLOOKUP(F43,$V$6:$V$13,$X$6:$X$13,,-1)</f>
        <v>3500</v>
      </c>
    </row>
    <row r="44" spans="1:21" x14ac:dyDescent="0.3">
      <c r="A44" s="2">
        <v>6595</v>
      </c>
      <c r="B44" s="2" t="s">
        <v>9</v>
      </c>
      <c r="C44" s="2" t="s">
        <v>86</v>
      </c>
      <c r="D44" s="2" t="s">
        <v>123</v>
      </c>
      <c r="E44" s="3">
        <v>43737</v>
      </c>
      <c r="F44" s="4">
        <v>72678</v>
      </c>
      <c r="G44" s="2" t="s">
        <v>130</v>
      </c>
      <c r="H44" s="4">
        <f>F44-(VLOOKUP(F44,$V$6:$X$13,3,TRUE)+(F44-VLOOKUP(F44,$V$6:$X$13,1,TRUE))*VLOOKUP(F44,$V$6:$X$13,2,TRUE))</f>
        <v>52856.800000000003</v>
      </c>
      <c r="I44" s="14">
        <f t="shared" si="1"/>
        <v>44286</v>
      </c>
      <c r="J44" s="14" t="str">
        <f t="shared" ca="1" si="7"/>
        <v>אנא פנה דחוף לחידוש</v>
      </c>
      <c r="K44" s="38">
        <f t="shared" si="2"/>
        <v>15101.942857142858</v>
      </c>
      <c r="L44" s="14" t="str">
        <f t="shared" si="3"/>
        <v>יום רביעי</v>
      </c>
      <c r="M44" s="14" t="str">
        <f t="shared" si="4"/>
        <v>יום רביעי</v>
      </c>
      <c r="N44" s="14">
        <f t="shared" si="5"/>
        <v>44286</v>
      </c>
      <c r="O44" s="35">
        <f>(F44-S44)*T44+U44</f>
        <v>19821.2</v>
      </c>
      <c r="P44" s="35">
        <f>F44-O44</f>
        <v>52856.800000000003</v>
      </c>
      <c r="S44" s="1">
        <f>_xlfn.XLOOKUP(F44,$V$6:$V$13,$V$6:$V$13,,-1)</f>
        <v>40000</v>
      </c>
      <c r="T44" s="1">
        <f>_xlfn.XLOOKUP(F44,$V$6:$V$13,$W$6:$W$13,,-1)</f>
        <v>0.4</v>
      </c>
      <c r="U44" s="1">
        <f>_xlfn.XLOOKUP(F44,$V$6:$V$13,$X$6:$X$13,,-1)</f>
        <v>6750</v>
      </c>
    </row>
    <row r="45" spans="1:21" x14ac:dyDescent="0.3">
      <c r="A45" s="2">
        <v>6311</v>
      </c>
      <c r="B45" s="2" t="s">
        <v>41</v>
      </c>
      <c r="C45" s="2" t="s">
        <v>87</v>
      </c>
      <c r="D45" s="2" t="s">
        <v>97</v>
      </c>
      <c r="E45" s="3">
        <v>45480</v>
      </c>
      <c r="F45" s="4">
        <v>79903</v>
      </c>
      <c r="G45" s="2" t="s">
        <v>127</v>
      </c>
      <c r="H45" s="4">
        <f>F45-(VLOOKUP(F45,$V$6:$X$13,3,TRUE)+(F45-VLOOKUP(F45,$V$6:$X$13,1,TRUE))*VLOOKUP(F45,$V$6:$X$13,2,TRUE))</f>
        <v>57191.8</v>
      </c>
      <c r="I45" s="14">
        <f t="shared" si="1"/>
        <v>46053</v>
      </c>
      <c r="J45" s="14" t="str">
        <f t="shared" ca="1" si="7"/>
        <v>אנא פנה דחוף לחידוש</v>
      </c>
      <c r="K45" s="38">
        <f t="shared" si="2"/>
        <v>16340.514285714287</v>
      </c>
      <c r="L45" s="14" t="str">
        <f t="shared" si="3"/>
        <v>שבת</v>
      </c>
      <c r="M45" s="14" t="str">
        <f t="shared" si="4"/>
        <v>המועד יחול בתחילת השבוע</v>
      </c>
      <c r="N45" s="14">
        <f t="shared" si="5"/>
        <v>46053</v>
      </c>
      <c r="O45" s="35">
        <f>(F45-S45)*T45+U45</f>
        <v>22711.200000000001</v>
      </c>
      <c r="P45" s="35">
        <f>F45-O45</f>
        <v>57191.8</v>
      </c>
      <c r="S45" s="1">
        <f>_xlfn.XLOOKUP(F45,$V$6:$V$13,$V$6:$V$13,,-1)</f>
        <v>40000</v>
      </c>
      <c r="T45" s="1">
        <f>_xlfn.XLOOKUP(F45,$V$6:$V$13,$W$6:$W$13,,-1)</f>
        <v>0.4</v>
      </c>
      <c r="U45" s="1">
        <f>_xlfn.XLOOKUP(F45,$V$6:$V$13,$X$6:$X$13,,-1)</f>
        <v>6750</v>
      </c>
    </row>
    <row r="46" spans="1:21" x14ac:dyDescent="0.3">
      <c r="A46" s="2">
        <v>8473</v>
      </c>
      <c r="B46" s="2" t="s">
        <v>42</v>
      </c>
      <c r="C46" s="2" t="s">
        <v>88</v>
      </c>
      <c r="D46" s="2" t="s">
        <v>91</v>
      </c>
      <c r="E46" s="3">
        <v>45364</v>
      </c>
      <c r="F46" s="4">
        <v>69665</v>
      </c>
      <c r="G46" s="2" t="s">
        <v>128</v>
      </c>
      <c r="H46" s="4">
        <f>F46-(VLOOKUP(F46,$V$6:$X$13,3,TRUE)+(F46-VLOOKUP(F46,$V$6:$X$13,1,TRUE))*VLOOKUP(F46,$V$6:$X$13,2,TRUE))</f>
        <v>51049</v>
      </c>
      <c r="I46" s="14">
        <f t="shared" si="1"/>
        <v>45930</v>
      </c>
      <c r="J46" s="14" t="str">
        <f t="shared" ca="1" si="7"/>
        <v>אנא פנה דחוף לחידוש</v>
      </c>
      <c r="K46" s="38">
        <f t="shared" si="2"/>
        <v>14585.428571428571</v>
      </c>
      <c r="L46" s="14" t="str">
        <f t="shared" si="3"/>
        <v>יום שלישי</v>
      </c>
      <c r="M46" s="14" t="str">
        <f t="shared" si="4"/>
        <v>יום שלישי</v>
      </c>
      <c r="N46" s="14">
        <f t="shared" si="5"/>
        <v>45930</v>
      </c>
      <c r="O46" s="35">
        <f>(F46-S46)*T46+U46</f>
        <v>18616</v>
      </c>
      <c r="P46" s="35">
        <f>F46-O46</f>
        <v>51049</v>
      </c>
      <c r="S46" s="1">
        <f>_xlfn.XLOOKUP(F46,$V$6:$V$13,$V$6:$V$13,,-1)</f>
        <v>40000</v>
      </c>
      <c r="T46" s="1">
        <f>_xlfn.XLOOKUP(F46,$V$6:$V$13,$W$6:$W$13,,-1)</f>
        <v>0.4</v>
      </c>
      <c r="U46" s="1">
        <f>_xlfn.XLOOKUP(F46,$V$6:$V$13,$X$6:$X$13,,-1)</f>
        <v>6750</v>
      </c>
    </row>
    <row r="47" spans="1:21" x14ac:dyDescent="0.3">
      <c r="A47" s="2">
        <v>5117</v>
      </c>
      <c r="B47" s="2" t="s">
        <v>43</v>
      </c>
      <c r="C47" s="2" t="s">
        <v>60</v>
      </c>
      <c r="D47" s="2" t="s">
        <v>124</v>
      </c>
      <c r="E47" s="3">
        <v>44813</v>
      </c>
      <c r="F47" s="4">
        <v>42327</v>
      </c>
      <c r="G47" s="2" t="s">
        <v>127</v>
      </c>
      <c r="H47" s="4">
        <f>F47-(VLOOKUP(F47,$V$6:$X$13,3,TRUE)+(F47-VLOOKUP(F47,$V$6:$X$13,1,TRUE))*VLOOKUP(F47,$V$6:$X$13,2,TRUE))</f>
        <v>34646.199999999997</v>
      </c>
      <c r="I47" s="14">
        <f t="shared" si="1"/>
        <v>45382</v>
      </c>
      <c r="J47" s="14" t="str">
        <f t="shared" ca="1" si="7"/>
        <v>אנא פנה דחוף לחידוש</v>
      </c>
      <c r="K47" s="38">
        <f t="shared" si="2"/>
        <v>9898.9142857142851</v>
      </c>
      <c r="L47" s="14" t="str">
        <f t="shared" si="3"/>
        <v>יום ראשון</v>
      </c>
      <c r="M47" s="14" t="str">
        <f t="shared" si="4"/>
        <v>יום ראשון</v>
      </c>
      <c r="N47" s="14">
        <f t="shared" si="5"/>
        <v>45382</v>
      </c>
      <c r="O47" s="35">
        <f>(F47-S47)*T47+U47</f>
        <v>7680.8</v>
      </c>
      <c r="P47" s="35">
        <f>F47-O47</f>
        <v>34646.199999999997</v>
      </c>
      <c r="S47" s="1">
        <f>_xlfn.XLOOKUP(F47,$V$6:$V$13,$V$6:$V$13,,-1)</f>
        <v>40000</v>
      </c>
      <c r="T47" s="1">
        <f>_xlfn.XLOOKUP(F47,$V$6:$V$13,$W$6:$W$13,,-1)</f>
        <v>0.4</v>
      </c>
      <c r="U47" s="1">
        <f>_xlfn.XLOOKUP(F47,$V$6:$V$13,$X$6:$X$13,,-1)</f>
        <v>6750</v>
      </c>
    </row>
    <row r="48" spans="1:21" x14ac:dyDescent="0.3">
      <c r="A48" s="2">
        <v>3786</v>
      </c>
      <c r="B48" s="2" t="s">
        <v>44</v>
      </c>
      <c r="C48" s="2" t="s">
        <v>48</v>
      </c>
      <c r="D48" s="2" t="s">
        <v>107</v>
      </c>
      <c r="E48" s="3">
        <v>44445</v>
      </c>
      <c r="F48" s="4">
        <v>40371</v>
      </c>
      <c r="G48" s="2" t="s">
        <v>130</v>
      </c>
      <c r="H48" s="4">
        <f>F48-(VLOOKUP(F48,$V$6:$X$13,3,TRUE)+(F48-VLOOKUP(F48,$V$6:$X$13,1,TRUE))*VLOOKUP(F48,$V$6:$X$13,2,TRUE))</f>
        <v>33472.6</v>
      </c>
      <c r="I48" s="14">
        <f t="shared" si="1"/>
        <v>45016</v>
      </c>
      <c r="J48" s="14" t="str">
        <f t="shared" ca="1" si="7"/>
        <v>אנא פנה דחוף לחידוש</v>
      </c>
      <c r="K48" s="38">
        <f t="shared" si="2"/>
        <v>9563.6</v>
      </c>
      <c r="L48" s="14" t="str">
        <f t="shared" si="3"/>
        <v>יום שישי</v>
      </c>
      <c r="M48" s="14" t="str">
        <f t="shared" si="4"/>
        <v>המועד יחול בתחילת השבוע</v>
      </c>
      <c r="N48" s="14">
        <f t="shared" si="5"/>
        <v>45016</v>
      </c>
      <c r="O48" s="35">
        <f>(F48-S48)*T48+U48</f>
        <v>6898.4</v>
      </c>
      <c r="P48" s="35">
        <f>F48-O48</f>
        <v>33472.6</v>
      </c>
      <c r="S48" s="1">
        <f>_xlfn.XLOOKUP(F48,$V$6:$V$13,$V$6:$V$13,,-1)</f>
        <v>40000</v>
      </c>
      <c r="T48" s="1">
        <f>_xlfn.XLOOKUP(F48,$V$6:$V$13,$W$6:$W$13,,-1)</f>
        <v>0.4</v>
      </c>
      <c r="U48" s="1">
        <f>_xlfn.XLOOKUP(F48,$V$6:$V$13,$X$6:$X$13,,-1)</f>
        <v>6750</v>
      </c>
    </row>
    <row r="49" spans="1:25" x14ac:dyDescent="0.3">
      <c r="A49" s="2">
        <v>8059</v>
      </c>
      <c r="B49" s="2" t="s">
        <v>45</v>
      </c>
      <c r="C49" s="2" t="s">
        <v>89</v>
      </c>
      <c r="D49" s="2" t="s">
        <v>125</v>
      </c>
      <c r="E49" s="3">
        <v>45537</v>
      </c>
      <c r="F49" s="4">
        <v>61807</v>
      </c>
      <c r="G49" s="2" t="s">
        <v>130</v>
      </c>
      <c r="H49" s="4">
        <f>F49-(VLOOKUP(F49,$V$6:$X$13,3,TRUE)+(F49-VLOOKUP(F49,$V$6:$X$13,1,TRUE))*VLOOKUP(F49,$V$6:$X$13,2,TRUE))</f>
        <v>46334.2</v>
      </c>
      <c r="I49" s="14">
        <f t="shared" si="1"/>
        <v>46112</v>
      </c>
      <c r="J49" s="14" t="str">
        <f t="shared" ca="1" si="7"/>
        <v>יום שלישי</v>
      </c>
      <c r="K49" s="38">
        <f t="shared" si="2"/>
        <v>13238.342857142856</v>
      </c>
      <c r="L49" s="14" t="str">
        <f t="shared" si="3"/>
        <v>יום שלישי</v>
      </c>
      <c r="M49" s="14" t="str">
        <f t="shared" si="4"/>
        <v>יום שלישי</v>
      </c>
      <c r="N49" s="14">
        <f t="shared" si="5"/>
        <v>46112</v>
      </c>
      <c r="O49" s="35">
        <f>(F49-S49)*T49+U49</f>
        <v>15472.800000000001</v>
      </c>
      <c r="P49" s="35">
        <f>F49-O49</f>
        <v>46334.2</v>
      </c>
      <c r="S49" s="1">
        <f>_xlfn.XLOOKUP(F49,$V$6:$V$13,$V$6:$V$13,,-1)</f>
        <v>40000</v>
      </c>
      <c r="T49" s="1">
        <f>_xlfn.XLOOKUP(F49,$V$6:$V$13,$W$6:$W$13,,-1)</f>
        <v>0.4</v>
      </c>
      <c r="U49" s="1">
        <f>_xlfn.XLOOKUP(F49,$V$6:$V$13,$X$6:$X$13,,-1)</f>
        <v>6750</v>
      </c>
    </row>
    <row r="50" spans="1:25" x14ac:dyDescent="0.3">
      <c r="A50" s="2">
        <v>6470</v>
      </c>
      <c r="B50" s="2" t="s">
        <v>46</v>
      </c>
      <c r="C50" s="2" t="s">
        <v>49</v>
      </c>
      <c r="D50" s="2" t="s">
        <v>43</v>
      </c>
      <c r="E50" s="3">
        <v>44330</v>
      </c>
      <c r="F50" s="4">
        <v>52973</v>
      </c>
      <c r="G50" s="2" t="s">
        <v>129</v>
      </c>
      <c r="H50" s="4">
        <f>F50-(VLOOKUP(F50,$V$6:$X$13,3,TRUE)+(F50-VLOOKUP(F50,$V$6:$X$13,1,TRUE))*VLOOKUP(F50,$V$6:$X$13,2,TRUE))</f>
        <v>41033.800000000003</v>
      </c>
      <c r="I50" s="14">
        <f t="shared" si="1"/>
        <v>44895</v>
      </c>
      <c r="J50" s="14" t="str">
        <f t="shared" ca="1" si="7"/>
        <v>אנא פנה דחוף לחידוש</v>
      </c>
      <c r="K50" s="38">
        <f t="shared" si="2"/>
        <v>11723.942857142858</v>
      </c>
      <c r="L50" s="14" t="str">
        <f t="shared" si="3"/>
        <v>יום רביעי</v>
      </c>
      <c r="M50" s="14" t="str">
        <f t="shared" si="4"/>
        <v>יום רביעי</v>
      </c>
      <c r="N50" s="14">
        <f t="shared" si="5"/>
        <v>44895</v>
      </c>
      <c r="O50" s="35">
        <f>(F50-S50)*T50+U50</f>
        <v>11939.2</v>
      </c>
      <c r="P50" s="35">
        <f>F50-O50</f>
        <v>41033.800000000003</v>
      </c>
      <c r="S50" s="1">
        <f>_xlfn.XLOOKUP(F50,$V$6:$V$13,$V$6:$V$13,,-1)</f>
        <v>40000</v>
      </c>
      <c r="T50" s="1">
        <f>_xlfn.XLOOKUP(F50,$V$6:$V$13,$W$6:$W$13,,-1)</f>
        <v>0.4</v>
      </c>
      <c r="U50" s="1">
        <f>_xlfn.XLOOKUP(F50,$V$6:$V$13,$X$6:$X$13,,-1)</f>
        <v>6750</v>
      </c>
    </row>
    <row r="51" spans="1:25" ht="16.2" thickBot="1" x14ac:dyDescent="0.35">
      <c r="A51" s="2">
        <v>5893</v>
      </c>
      <c r="B51" s="2" t="s">
        <v>47</v>
      </c>
      <c r="C51" s="2" t="s">
        <v>90</v>
      </c>
      <c r="D51" s="2" t="s">
        <v>126</v>
      </c>
      <c r="E51" s="3">
        <v>44650</v>
      </c>
      <c r="F51" s="4">
        <v>27087</v>
      </c>
      <c r="G51" s="2" t="s">
        <v>129</v>
      </c>
      <c r="H51" s="4">
        <f>F51-(VLOOKUP(F51,$V$6:$X$13,3,TRUE)+(F51-VLOOKUP(F51,$V$6:$X$13,1,TRUE))*VLOOKUP(F51,$V$6:$X$13,2,TRUE))</f>
        <v>24315.25</v>
      </c>
      <c r="I51" s="14">
        <f t="shared" si="1"/>
        <v>45199</v>
      </c>
      <c r="J51" s="14" t="str">
        <f t="shared" ca="1" si="7"/>
        <v>אנא פנה דחוף לחידוש</v>
      </c>
      <c r="K51" s="38">
        <f t="shared" si="2"/>
        <v>6947.2142857142853</v>
      </c>
      <c r="L51" s="14" t="str">
        <f t="shared" si="3"/>
        <v>שבת</v>
      </c>
      <c r="M51" s="14" t="str">
        <f t="shared" si="4"/>
        <v>המועד יחול בתחילת השבוע</v>
      </c>
      <c r="N51" s="14">
        <f t="shared" si="5"/>
        <v>45199</v>
      </c>
      <c r="P51" s="35">
        <f>F51-O51</f>
        <v>27087</v>
      </c>
      <c r="S51" s="1">
        <f>_xlfn.XLOOKUP(F51,$V$6:$V$13,$V$6:$V$13,,-1)</f>
        <v>25000</v>
      </c>
      <c r="T51" s="1">
        <f>_xlfn.XLOOKUP(F51,$V$6:$V$13,$W$6:$W$13,,-1)</f>
        <v>0.25</v>
      </c>
      <c r="U51" s="1">
        <f>_xlfn.XLOOKUP(F51,$V$6:$V$13,$X$6:$X$13,,-1)</f>
        <v>2250</v>
      </c>
    </row>
    <row r="52" spans="1:25" x14ac:dyDescent="0.3">
      <c r="K52" s="39">
        <f>SUM(K2:K51)</f>
        <v>589442.65714285709</v>
      </c>
    </row>
    <row r="53" spans="1:25" ht="16.2" thickBot="1" x14ac:dyDescent="0.35">
      <c r="E53" s="1" t="s">
        <v>152</v>
      </c>
      <c r="F53">
        <v>3.5</v>
      </c>
      <c r="K53" s="40" t="s">
        <v>187</v>
      </c>
    </row>
    <row r="55" spans="1:25" x14ac:dyDescent="0.3">
      <c r="L55" s="14" t="s">
        <v>178</v>
      </c>
    </row>
    <row r="56" spans="1:25" x14ac:dyDescent="0.3">
      <c r="L56" s="14" t="s">
        <v>179</v>
      </c>
    </row>
    <row r="57" spans="1:25" x14ac:dyDescent="0.3">
      <c r="L57" s="14" t="s">
        <v>180</v>
      </c>
    </row>
    <row r="59" spans="1:25" x14ac:dyDescent="0.3">
      <c r="L59" s="14" t="s">
        <v>181</v>
      </c>
      <c r="S59"/>
      <c r="U59" s="15" t="s">
        <v>143</v>
      </c>
      <c r="V59" s="15" t="s">
        <v>145</v>
      </c>
      <c r="W59" s="15"/>
      <c r="X59" s="15"/>
      <c r="Y59" s="15"/>
    </row>
    <row r="60" spans="1:25" x14ac:dyDescent="0.3">
      <c r="S60"/>
      <c r="U60" s="15" t="s">
        <v>144</v>
      </c>
      <c r="V60" s="15"/>
      <c r="W60" s="15"/>
      <c r="X60" s="15"/>
      <c r="Y60" s="15"/>
    </row>
    <row r="61" spans="1:25" x14ac:dyDescent="0.3">
      <c r="L61" s="14" t="s">
        <v>182</v>
      </c>
      <c r="S61"/>
      <c r="U61" s="15"/>
      <c r="V61" s="15"/>
      <c r="W61" s="15"/>
      <c r="X61" s="15"/>
      <c r="Y61" s="15"/>
    </row>
    <row r="62" spans="1:25" x14ac:dyDescent="0.3">
      <c r="S62"/>
      <c r="U62" s="15"/>
      <c r="V62" s="15" t="s">
        <v>146</v>
      </c>
      <c r="W62" s="15"/>
      <c r="X62" s="15"/>
      <c r="Y62" s="15"/>
    </row>
    <row r="63" spans="1:25" x14ac:dyDescent="0.3">
      <c r="S63"/>
    </row>
    <row r="64" spans="1:25" x14ac:dyDescent="0.3">
      <c r="F64" s="1" t="s">
        <v>184</v>
      </c>
      <c r="L64" s="14" t="s">
        <v>183</v>
      </c>
      <c r="S64"/>
    </row>
    <row r="65" spans="6:22" ht="31.2" x14ac:dyDescent="0.3">
      <c r="F65" s="7" t="s">
        <v>3</v>
      </c>
      <c r="G65" s="7" t="s">
        <v>4</v>
      </c>
      <c r="L65" s="7" t="s">
        <v>3</v>
      </c>
      <c r="M65" s="7" t="s">
        <v>133</v>
      </c>
      <c r="S65"/>
      <c r="U65" s="16" t="s">
        <v>3</v>
      </c>
      <c r="V65" s="16" t="s">
        <v>133</v>
      </c>
    </row>
    <row r="66" spans="6:22" x14ac:dyDescent="0.3">
      <c r="G66" s="1" t="s">
        <v>185</v>
      </c>
      <c r="L66" s="2" t="s">
        <v>99</v>
      </c>
      <c r="M66" s="2" t="s">
        <v>128</v>
      </c>
      <c r="S66"/>
      <c r="U66" s="17" t="s">
        <v>95</v>
      </c>
      <c r="V66" s="17" t="s">
        <v>128</v>
      </c>
    </row>
    <row r="67" spans="6:22" x14ac:dyDescent="0.3">
      <c r="F67" s="2" t="s">
        <v>106</v>
      </c>
      <c r="L67" s="2" t="s">
        <v>95</v>
      </c>
      <c r="M67" s="2" t="s">
        <v>128</v>
      </c>
      <c r="S67"/>
      <c r="U67" s="17" t="s">
        <v>99</v>
      </c>
      <c r="V67" s="17" t="s">
        <v>128</v>
      </c>
    </row>
    <row r="68" spans="6:22" x14ac:dyDescent="0.3">
      <c r="F68" s="2" t="s">
        <v>107</v>
      </c>
      <c r="L68" s="2" t="s">
        <v>117</v>
      </c>
      <c r="M68" s="2" t="s">
        <v>129</v>
      </c>
      <c r="S68"/>
      <c r="U68" s="17" t="s">
        <v>105</v>
      </c>
      <c r="V68" s="17" t="s">
        <v>129</v>
      </c>
    </row>
    <row r="69" spans="6:22" x14ac:dyDescent="0.3">
      <c r="F69" s="2" t="s">
        <v>114</v>
      </c>
      <c r="L69" s="2" t="s">
        <v>105</v>
      </c>
      <c r="M69" s="2" t="s">
        <v>129</v>
      </c>
      <c r="S69"/>
      <c r="U69" s="17" t="s">
        <v>117</v>
      </c>
      <c r="V69" s="17" t="s">
        <v>129</v>
      </c>
    </row>
    <row r="70" spans="6:22" x14ac:dyDescent="0.3">
      <c r="S70"/>
    </row>
    <row r="71" spans="6:22" ht="16.2" thickBot="1" x14ac:dyDescent="0.35">
      <c r="S71"/>
    </row>
    <row r="72" spans="6:22" ht="47.4" thickBot="1" x14ac:dyDescent="0.35">
      <c r="F72" s="50" t="s">
        <v>186</v>
      </c>
      <c r="G72" s="51">
        <f>DSUM(A1:I51,H1,F65:G69)</f>
        <v>1414550.4</v>
      </c>
      <c r="S72"/>
      <c r="U72" s="18" t="s">
        <v>4</v>
      </c>
      <c r="V72" s="18" t="s">
        <v>3</v>
      </c>
    </row>
    <row r="73" spans="6:22" x14ac:dyDescent="0.3">
      <c r="M73" s="1">
        <v>60000</v>
      </c>
      <c r="S73"/>
      <c r="U73" s="19" t="s">
        <v>149</v>
      </c>
      <c r="V73" s="19"/>
    </row>
    <row r="74" spans="6:22" x14ac:dyDescent="0.3">
      <c r="M74" s="1">
        <v>30000</v>
      </c>
      <c r="S74"/>
      <c r="U74" s="19"/>
      <c r="V74" s="19" t="s">
        <v>106</v>
      </c>
    </row>
    <row r="75" spans="6:22" x14ac:dyDescent="0.3">
      <c r="S75"/>
      <c r="U75" s="19"/>
      <c r="V75" s="19" t="s">
        <v>107</v>
      </c>
    </row>
    <row r="76" spans="6:22" x14ac:dyDescent="0.3">
      <c r="F76" s="1" t="s">
        <v>192</v>
      </c>
      <c r="S76"/>
      <c r="U76" s="19"/>
      <c r="V76" s="19" t="s">
        <v>114</v>
      </c>
    </row>
    <row r="77" spans="6:22" x14ac:dyDescent="0.3">
      <c r="G77" s="37">
        <f>DCOUNT(A1:I51,A1,F65:G69)</f>
        <v>34</v>
      </c>
      <c r="S77"/>
    </row>
    <row r="78" spans="6:22" x14ac:dyDescent="0.3">
      <c r="S78" t="s">
        <v>147</v>
      </c>
      <c r="V78" s="21">
        <f>DSUM($A$1:$N$51,H1,$U$72:$V$76)</f>
        <v>1414550.4</v>
      </c>
    </row>
    <row r="79" spans="6:22" x14ac:dyDescent="0.3">
      <c r="S79" t="s">
        <v>148</v>
      </c>
      <c r="V79" s="21">
        <f>DCOUNT($A$1:$N$51,A1,$U$72:$V$76)</f>
        <v>34</v>
      </c>
    </row>
    <row r="80" spans="6:22" x14ac:dyDescent="0.3">
      <c r="F80" s="7" t="s">
        <v>3</v>
      </c>
      <c r="S80"/>
    </row>
    <row r="81" spans="6:23" x14ac:dyDescent="0.3">
      <c r="F81" s="2" t="s">
        <v>94</v>
      </c>
      <c r="H81" s="49" t="s">
        <v>191</v>
      </c>
      <c r="I81" s="49"/>
    </row>
    <row r="82" spans="6:23" x14ac:dyDescent="0.3">
      <c r="F82" s="2" t="s">
        <v>100</v>
      </c>
      <c r="I82" s="1" t="s">
        <v>189</v>
      </c>
      <c r="S82"/>
      <c r="U82" s="22" t="s">
        <v>3</v>
      </c>
    </row>
    <row r="83" spans="6:23" x14ac:dyDescent="0.3">
      <c r="F83" s="2" t="s">
        <v>103</v>
      </c>
      <c r="H83" s="41"/>
      <c r="I83" s="42">
        <f>DSUM(D1:K51,K1,F80:F84)</f>
        <v>75537.757142857139</v>
      </c>
      <c r="S83"/>
      <c r="U83" s="22" t="s">
        <v>100</v>
      </c>
    </row>
    <row r="84" spans="6:23" x14ac:dyDescent="0.3">
      <c r="F84" s="2" t="s">
        <v>113</v>
      </c>
      <c r="H84" s="1">
        <v>3.5</v>
      </c>
      <c r="I84" s="1">
        <f t="dataTable" ref="I84:I90" dt2D="0" dtr="0" r1="F53"/>
        <v>75537.757142857139</v>
      </c>
      <c r="S84"/>
      <c r="U84" s="22" t="s">
        <v>113</v>
      </c>
    </row>
    <row r="85" spans="6:23" x14ac:dyDescent="0.3">
      <c r="H85" s="1">
        <v>3.55</v>
      </c>
      <c r="I85" s="1">
        <v>74473.84507042254</v>
      </c>
      <c r="S85"/>
      <c r="U85" s="22" t="s">
        <v>94</v>
      </c>
    </row>
    <row r="86" spans="6:23" x14ac:dyDescent="0.3">
      <c r="H86" s="1">
        <v>3.6</v>
      </c>
      <c r="I86" s="1">
        <v>73439.486111111109</v>
      </c>
      <c r="S86"/>
      <c r="U86" s="22" t="s">
        <v>103</v>
      </c>
    </row>
    <row r="87" spans="6:23" x14ac:dyDescent="0.3">
      <c r="H87" s="1">
        <v>3.65</v>
      </c>
      <c r="I87" s="1">
        <v>72433.465753424651</v>
      </c>
      <c r="S87"/>
    </row>
    <row r="88" spans="6:23" x14ac:dyDescent="0.3">
      <c r="H88" s="1">
        <v>3.7</v>
      </c>
      <c r="I88" s="1">
        <v>71454.635135135133</v>
      </c>
      <c r="S88" s="20" t="s">
        <v>150</v>
      </c>
      <c r="V88" s="2"/>
      <c r="W88" s="27" t="e">
        <f>DSUM(A1:N51,#REF!,U82:U86)</f>
        <v>#REF!</v>
      </c>
    </row>
    <row r="89" spans="6:23" x14ac:dyDescent="0.3">
      <c r="H89" s="1">
        <v>3.75</v>
      </c>
      <c r="I89" s="1">
        <v>70501.906666666662</v>
      </c>
      <c r="S89"/>
      <c r="V89" s="2">
        <v>3.5</v>
      </c>
      <c r="W89" s="26" t="e">
        <f t="dataTable" ref="W89:W95" dt2D="0" dtr="0" r1="F53" ca="1"/>
        <v>#REF!</v>
      </c>
    </row>
    <row r="90" spans="6:23" x14ac:dyDescent="0.3">
      <c r="H90" s="1">
        <v>3.8</v>
      </c>
      <c r="I90" s="1">
        <v>69574.25</v>
      </c>
      <c r="S90"/>
      <c r="V90" s="2">
        <v>3.55</v>
      </c>
      <c r="W90" s="26" t="e">
        <v>#REF!</v>
      </c>
    </row>
    <row r="91" spans="6:23" x14ac:dyDescent="0.3">
      <c r="S91"/>
      <c r="V91" s="2">
        <v>3.6</v>
      </c>
      <c r="W91" s="26" t="e">
        <v>#REF!</v>
      </c>
    </row>
    <row r="92" spans="6:23" x14ac:dyDescent="0.3">
      <c r="S92"/>
      <c r="V92" s="2">
        <v>3.65</v>
      </c>
      <c r="W92" s="26" t="e">
        <v>#REF!</v>
      </c>
    </row>
    <row r="93" spans="6:23" x14ac:dyDescent="0.3">
      <c r="V93" s="2">
        <v>3.7</v>
      </c>
      <c r="W93" s="26" t="e">
        <v>#REF!</v>
      </c>
    </row>
    <row r="94" spans="6:23" x14ac:dyDescent="0.3">
      <c r="V94" s="2">
        <v>3.75</v>
      </c>
      <c r="W94" s="26" t="e">
        <v>#REF!</v>
      </c>
    </row>
    <row r="95" spans="6:23" x14ac:dyDescent="0.3">
      <c r="V95" s="2">
        <v>3.8</v>
      </c>
      <c r="W95" s="26" t="e">
        <v>#REF!</v>
      </c>
    </row>
    <row r="98" spans="21:23" x14ac:dyDescent="0.3">
      <c r="V98" s="1" t="s">
        <v>153</v>
      </c>
      <c r="W98" s="1" t="s">
        <v>154</v>
      </c>
    </row>
    <row r="99" spans="21:23" x14ac:dyDescent="0.3">
      <c r="U99" s="9" t="s">
        <v>127</v>
      </c>
      <c r="V99" s="27">
        <f>SUMIF($G$2:$G$51,U99,$H$2:$H$51)</f>
        <v>639964.79999999993</v>
      </c>
      <c r="W99" s="17">
        <f>COUNTIF($G$2:$G$51,U99)</f>
        <v>13</v>
      </c>
    </row>
    <row r="100" spans="21:23" x14ac:dyDescent="0.3">
      <c r="U100" s="9" t="s">
        <v>127</v>
      </c>
      <c r="V100" s="27">
        <f t="shared" ref="V100:V104" si="8">SUMIF($G$2:$G$51,U100,$H$2:$H$51)</f>
        <v>639964.79999999993</v>
      </c>
      <c r="W100" s="17">
        <f t="shared" ref="W100:W104" si="9">COUNTIF($G$2:$G$51,U100)</f>
        <v>13</v>
      </c>
    </row>
    <row r="101" spans="21:23" x14ac:dyDescent="0.3">
      <c r="U101" s="9" t="s">
        <v>128</v>
      </c>
      <c r="V101" s="27">
        <f t="shared" si="8"/>
        <v>420214.4</v>
      </c>
      <c r="W101" s="17">
        <f t="shared" si="9"/>
        <v>9</v>
      </c>
    </row>
    <row r="102" spans="21:23" x14ac:dyDescent="0.3">
      <c r="U102" s="9" t="s">
        <v>129</v>
      </c>
      <c r="V102" s="27">
        <f t="shared" si="8"/>
        <v>454816.65</v>
      </c>
      <c r="W102" s="17">
        <f t="shared" si="9"/>
        <v>13</v>
      </c>
    </row>
    <row r="103" spans="21:23" x14ac:dyDescent="0.3">
      <c r="U103" s="9" t="s">
        <v>130</v>
      </c>
      <c r="V103" s="27">
        <f t="shared" si="8"/>
        <v>399735.69999999995</v>
      </c>
      <c r="W103" s="17">
        <f t="shared" si="9"/>
        <v>10</v>
      </c>
    </row>
    <row r="104" spans="21:23" x14ac:dyDescent="0.3">
      <c r="U104" s="9" t="s">
        <v>131</v>
      </c>
      <c r="V104" s="27">
        <f t="shared" si="8"/>
        <v>148317.75</v>
      </c>
      <c r="W104" s="17">
        <f t="shared" si="9"/>
        <v>5</v>
      </c>
    </row>
    <row r="105" spans="21:23" x14ac:dyDescent="0.3">
      <c r="U105"/>
    </row>
    <row r="106" spans="21:23" x14ac:dyDescent="0.3">
      <c r="U106" s="28" t="s">
        <v>155</v>
      </c>
      <c r="V106" s="28"/>
      <c r="W106" s="28" t="str">
        <f>_xlfn.XLOOKUP(MIN(W99:W104),W99:W104,U99:U104)</f>
        <v>מיסוי</v>
      </c>
    </row>
    <row r="107" spans="21:23" x14ac:dyDescent="0.3">
      <c r="U107"/>
    </row>
    <row r="108" spans="21:23" x14ac:dyDescent="0.3">
      <c r="U108"/>
    </row>
    <row r="109" spans="21:23" x14ac:dyDescent="0.3">
      <c r="U109"/>
    </row>
  </sheetData>
  <mergeCells count="1">
    <mergeCell ref="H81:I81"/>
  </mergeCells>
  <conditionalFormatting sqref="H2:J51 L2:M51 L56:M57">
    <cfRule type="cellIs" dxfId="3" priority="5" operator="lessThan">
      <formula>$M$74</formula>
    </cfRule>
    <cfRule type="cellIs" dxfId="2" priority="6" operator="greaterThan">
      <formula>$M$73</formula>
    </cfRule>
  </conditionalFormatting>
  <pageMargins left="0.7" right="0.7" top="0.75" bottom="0.75" header="0.3" footer="0.3"/>
  <pageSetup paperSize="9" scale="9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1CDF6-791B-49BF-BD17-8418631A68D2}">
  <dimension ref="A1:C6"/>
  <sheetViews>
    <sheetView rightToLeft="1" workbookViewId="0">
      <selection activeCell="C29" sqref="C29"/>
    </sheetView>
  </sheetViews>
  <sheetFormatPr defaultRowHeight="13.8" x14ac:dyDescent="0.25"/>
  <cols>
    <col min="2" max="2" width="15.296875" customWidth="1"/>
    <col min="3" max="3" width="18.3984375" customWidth="1"/>
  </cols>
  <sheetData>
    <row r="1" spans="1:3" ht="46.8" x14ac:dyDescent="0.25">
      <c r="A1" s="7" t="s">
        <v>2</v>
      </c>
      <c r="B1" s="7" t="s">
        <v>3</v>
      </c>
      <c r="C1" s="7" t="s">
        <v>133</v>
      </c>
    </row>
    <row r="2" spans="1:3" ht="15.6" x14ac:dyDescent="0.3">
      <c r="A2" s="2" t="s">
        <v>52</v>
      </c>
      <c r="B2" s="2" t="s">
        <v>95</v>
      </c>
      <c r="C2" s="2" t="s">
        <v>128</v>
      </c>
    </row>
    <row r="3" spans="1:3" ht="15.6" x14ac:dyDescent="0.3">
      <c r="A3" s="2" t="s">
        <v>61</v>
      </c>
      <c r="B3" s="2" t="s">
        <v>105</v>
      </c>
      <c r="C3" s="2" t="s">
        <v>129</v>
      </c>
    </row>
    <row r="4" spans="1:3" ht="15.6" x14ac:dyDescent="0.3">
      <c r="A4" s="2" t="s">
        <v>75</v>
      </c>
      <c r="B4" s="2" t="s">
        <v>117</v>
      </c>
      <c r="C4" s="2" t="s">
        <v>129</v>
      </c>
    </row>
    <row r="5" spans="1:3" ht="15.6" x14ac:dyDescent="0.3">
      <c r="A5" s="2" t="s">
        <v>81</v>
      </c>
      <c r="B5" s="2" t="s">
        <v>99</v>
      </c>
      <c r="C5" s="2" t="s">
        <v>128</v>
      </c>
    </row>
    <row r="6" spans="1:3" ht="15.6" x14ac:dyDescent="0.3">
      <c r="A6" s="2" t="s">
        <v>82</v>
      </c>
      <c r="B6" s="2" t="s">
        <v>99</v>
      </c>
      <c r="C6" s="2" t="s">
        <v>128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4A2E-F122-4D38-B16A-07E39C071093}">
  <sheetPr>
    <pageSetUpPr fitToPage="1"/>
  </sheetPr>
  <dimension ref="A1:V109"/>
  <sheetViews>
    <sheetView rightToLeft="1" topLeftCell="H1" zoomScaleNormal="100" workbookViewId="0">
      <selection activeCell="M2" sqref="M2"/>
    </sheetView>
  </sheetViews>
  <sheetFormatPr defaultColWidth="8.69921875" defaultRowHeight="15.6" x14ac:dyDescent="0.3"/>
  <cols>
    <col min="1" max="1" width="8.69921875" style="1"/>
    <col min="2" max="2" width="16" style="1" customWidth="1"/>
    <col min="3" max="3" width="19.09765625" style="1" customWidth="1"/>
    <col min="4" max="4" width="23.09765625" style="1" customWidth="1"/>
    <col min="5" max="5" width="22.59765625" style="1" customWidth="1"/>
    <col min="6" max="6" width="22.8984375" style="1" bestFit="1" customWidth="1"/>
    <col min="7" max="7" width="21.296875" style="1" customWidth="1"/>
    <col min="8" max="8" width="14" style="1" customWidth="1"/>
    <col min="9" max="9" width="10.59765625" style="1" customWidth="1"/>
    <col min="10" max="10" width="32.69921875" style="1" customWidth="1"/>
    <col min="11" max="11" width="13.09765625" style="1" customWidth="1"/>
    <col min="12" max="12" width="32.69921875" style="1" customWidth="1"/>
    <col min="13" max="13" width="10.8984375" style="1" bestFit="1" customWidth="1"/>
    <col min="14" max="14" width="15.8984375" style="1" customWidth="1"/>
    <col min="15" max="15" width="8.69921875" style="1"/>
    <col min="16" max="16" width="22.296875" style="1" customWidth="1"/>
    <col min="17" max="17" width="20.3984375" style="1" customWidth="1"/>
    <col min="18" max="18" width="16.296875" style="1" customWidth="1"/>
    <col min="19" max="19" width="8.69921875" style="1"/>
    <col min="20" max="20" width="13.296875" style="1" bestFit="1" customWidth="1"/>
    <col min="21" max="21" width="16.8984375" style="1" customWidth="1"/>
    <col min="22" max="16384" width="8.69921875" style="1"/>
  </cols>
  <sheetData>
    <row r="1" spans="1:20" s="8" customFormat="1" ht="46.8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132</v>
      </c>
      <c r="G1" s="7" t="s">
        <v>133</v>
      </c>
      <c r="H1" s="7" t="s">
        <v>137</v>
      </c>
      <c r="I1" s="7" t="s">
        <v>141</v>
      </c>
      <c r="J1" s="7" t="s">
        <v>142</v>
      </c>
      <c r="K1" s="7" t="s">
        <v>151</v>
      </c>
      <c r="L1" s="7" t="s">
        <v>169</v>
      </c>
      <c r="M1" s="8" t="s">
        <v>170</v>
      </c>
      <c r="P1" s="8" t="s">
        <v>165</v>
      </c>
      <c r="Q1" s="8" t="s">
        <v>166</v>
      </c>
      <c r="R1" s="8" t="s">
        <v>167</v>
      </c>
    </row>
    <row r="2" spans="1:20" x14ac:dyDescent="0.3">
      <c r="A2" s="2">
        <v>7425</v>
      </c>
      <c r="B2" s="2" t="s">
        <v>5</v>
      </c>
      <c r="C2" s="2" t="s">
        <v>48</v>
      </c>
      <c r="D2" s="2" t="s">
        <v>91</v>
      </c>
      <c r="E2" s="3">
        <v>45406</v>
      </c>
      <c r="F2" s="4">
        <v>92634</v>
      </c>
      <c r="G2" s="24" t="s">
        <v>127</v>
      </c>
      <c r="H2" s="25">
        <f t="shared" ref="H2:H33" si="0">F2-(VLOOKUP(F2,$T$25:$V$32,3,TRUE)+(F2-VLOOKUP(F2,$T$25:$V$32,1,TRUE))*VLOOKUP(F2,$T$25:$V$32,2,TRUE))</f>
        <v>69981.297336384014</v>
      </c>
      <c r="I2" s="14">
        <f>EOMONTH(E2,18)</f>
        <v>45961</v>
      </c>
      <c r="J2" s="1" t="str">
        <f t="shared" ref="J2:J33" ca="1" si="1">IF(I2&lt;=TODAY(), $S$62,IF(OR(TEXT(I2,"DDDD")=$R$59,TEXT(I2,"DDDD")=$R$60),$S$59,TEXT(I2,"DDDD")))</f>
        <v>אנא פנה בדחיפות לחברה</v>
      </c>
      <c r="K2" s="23">
        <f>H2/'עידוד  הצמיחה'!$F$53</f>
        <v>19994.656381824003</v>
      </c>
      <c r="L2" s="35">
        <f>(F2-P2)*Q2+R2</f>
        <v>22652.702663615986</v>
      </c>
      <c r="M2" s="35">
        <f>F2-L2</f>
        <v>69981.297336384014</v>
      </c>
      <c r="N2" s="1" t="s">
        <v>168</v>
      </c>
      <c r="P2" s="1">
        <f t="shared" ref="P2:P33" si="2">_xlfn.XLOOKUP(F2,$T$25:$T$32,$T$25:$T$32,,-1)</f>
        <v>40000</v>
      </c>
      <c r="Q2" s="1">
        <f t="shared" ref="Q2:Q33" si="3">_xlfn.XLOOKUP(F2,$T$25:$T$32,$U$25:$U$32,,-1)</f>
        <v>0.33766612609356905</v>
      </c>
      <c r="R2" s="1">
        <f t="shared" ref="R2:R33" si="4">_xlfn.XLOOKUP(F2,$T$25:$T$32,$V$25:$V$32,,-1)</f>
        <v>4879.9837828070722</v>
      </c>
    </row>
    <row r="3" spans="1:20" x14ac:dyDescent="0.3">
      <c r="A3" s="2">
        <v>8279</v>
      </c>
      <c r="B3" s="2" t="s">
        <v>6</v>
      </c>
      <c r="C3" s="2" t="s">
        <v>49</v>
      </c>
      <c r="D3" s="2" t="s">
        <v>92</v>
      </c>
      <c r="E3" s="3">
        <v>44816</v>
      </c>
      <c r="F3" s="4">
        <v>56995</v>
      </c>
      <c r="G3" s="2" t="s">
        <v>127</v>
      </c>
      <c r="H3" s="4">
        <f t="shared" si="0"/>
        <v>46376.380404232725</v>
      </c>
      <c r="I3" s="14">
        <f t="shared" ref="I3:I51" si="5">EOMONTH(E3,18)</f>
        <v>45382</v>
      </c>
      <c r="J3" s="1" t="str">
        <f t="shared" ca="1" si="1"/>
        <v>אנא פנה בדחיפות לחברה</v>
      </c>
      <c r="K3" s="23">
        <f>H3/'עידוד  הצמיחה'!$F$53</f>
        <v>13250.394401209351</v>
      </c>
      <c r="L3" s="35">
        <f t="shared" ref="L3:L50" si="6">(F3-P3)*Q3+R3</f>
        <v>10618.619595767279</v>
      </c>
      <c r="M3" s="35">
        <f t="shared" ref="M3:M51" si="7">F3-L3</f>
        <v>46376.380404232725</v>
      </c>
      <c r="P3" s="1">
        <f t="shared" si="2"/>
        <v>40000</v>
      </c>
      <c r="Q3" s="1">
        <f t="shared" si="3"/>
        <v>0.33766612609356905</v>
      </c>
      <c r="R3" s="1">
        <f t="shared" si="4"/>
        <v>4879.9837828070722</v>
      </c>
    </row>
    <row r="4" spans="1:20" x14ac:dyDescent="0.3">
      <c r="A4" s="2">
        <v>8652</v>
      </c>
      <c r="B4" s="2" t="s">
        <v>7</v>
      </c>
      <c r="C4" s="2" t="s">
        <v>50</v>
      </c>
      <c r="D4" s="2" t="s">
        <v>93</v>
      </c>
      <c r="E4" s="3">
        <v>44340</v>
      </c>
      <c r="F4" s="4">
        <v>46998</v>
      </c>
      <c r="G4" s="2" t="s">
        <v>128</v>
      </c>
      <c r="H4" s="4">
        <f t="shared" si="0"/>
        <v>39755.028666790131</v>
      </c>
      <c r="I4" s="14">
        <f t="shared" si="5"/>
        <v>44895</v>
      </c>
      <c r="J4" s="1" t="str">
        <f t="shared" ca="1" si="1"/>
        <v>אנא פנה בדחיפות לחברה</v>
      </c>
      <c r="K4" s="23">
        <f>H4/'עידוד  הצמיחה'!$F$53</f>
        <v>11358.579619082895</v>
      </c>
      <c r="L4" s="35">
        <f t="shared" si="6"/>
        <v>7242.971333209869</v>
      </c>
      <c r="M4" s="35">
        <f t="shared" si="7"/>
        <v>39755.028666790131</v>
      </c>
      <c r="P4" s="1">
        <f t="shared" si="2"/>
        <v>40000</v>
      </c>
      <c r="Q4" s="1">
        <f t="shared" si="3"/>
        <v>0.33766612609356905</v>
      </c>
      <c r="R4" s="1">
        <f t="shared" si="4"/>
        <v>4879.9837828070722</v>
      </c>
    </row>
    <row r="5" spans="1:20" x14ac:dyDescent="0.3">
      <c r="A5" s="2">
        <v>4599</v>
      </c>
      <c r="B5" s="2" t="s">
        <v>8</v>
      </c>
      <c r="C5" s="2" t="s">
        <v>51</v>
      </c>
      <c r="D5" s="2" t="s">
        <v>94</v>
      </c>
      <c r="E5" s="3">
        <v>44212</v>
      </c>
      <c r="F5" s="4">
        <v>36490</v>
      </c>
      <c r="G5" s="2" t="s">
        <v>129</v>
      </c>
      <c r="H5" s="4">
        <f t="shared" si="0"/>
        <v>32619.724319781355</v>
      </c>
      <c r="I5" s="14">
        <f t="shared" si="5"/>
        <v>44773</v>
      </c>
      <c r="J5" s="1" t="str">
        <f t="shared" ca="1" si="1"/>
        <v>אנא פנה בדחיפות לחברה</v>
      </c>
      <c r="K5" s="23">
        <f>H5/'עידוד  הצמיחה'!$F$53</f>
        <v>9319.921234223244</v>
      </c>
      <c r="L5" s="35">
        <f t="shared" si="6"/>
        <v>3870.275680218645</v>
      </c>
      <c r="M5" s="35">
        <f t="shared" si="7"/>
        <v>32619.724319781355</v>
      </c>
      <c r="P5" s="1">
        <f t="shared" si="2"/>
        <v>35000</v>
      </c>
      <c r="Q5" s="1">
        <f t="shared" si="3"/>
        <v>0.28766612609356906</v>
      </c>
      <c r="R5" s="1">
        <f t="shared" si="4"/>
        <v>3441.6531523392268</v>
      </c>
    </row>
    <row r="6" spans="1:20" x14ac:dyDescent="0.3">
      <c r="A6" s="2">
        <v>3185</v>
      </c>
      <c r="B6" s="2" t="s">
        <v>9</v>
      </c>
      <c r="C6" s="2" t="s">
        <v>52</v>
      </c>
      <c r="D6" s="2" t="s">
        <v>95</v>
      </c>
      <c r="E6" s="3">
        <v>44235</v>
      </c>
      <c r="F6" s="4">
        <v>69142</v>
      </c>
      <c r="G6" s="2" t="s">
        <v>128</v>
      </c>
      <c r="H6" s="4">
        <f t="shared" si="0"/>
        <v>54421.749970574136</v>
      </c>
      <c r="I6" s="14">
        <f t="shared" si="5"/>
        <v>44804</v>
      </c>
      <c r="J6" s="1" t="str">
        <f t="shared" ca="1" si="1"/>
        <v>אנא פנה בדחיפות לחברה</v>
      </c>
      <c r="K6" s="23">
        <f>H6/'עידוד  הצמיחה'!$F$53</f>
        <v>15549.071420164038</v>
      </c>
      <c r="L6" s="35">
        <f t="shared" si="6"/>
        <v>14720.250029425861</v>
      </c>
      <c r="M6" s="35">
        <f t="shared" si="7"/>
        <v>54421.749970574136</v>
      </c>
      <c r="P6" s="1">
        <f t="shared" si="2"/>
        <v>40000</v>
      </c>
      <c r="Q6" s="1">
        <f t="shared" si="3"/>
        <v>0.33766612609356905</v>
      </c>
      <c r="R6" s="1">
        <f t="shared" si="4"/>
        <v>4879.9837828070722</v>
      </c>
    </row>
    <row r="7" spans="1:20" x14ac:dyDescent="0.3">
      <c r="A7" s="2">
        <v>1455</v>
      </c>
      <c r="B7" s="2" t="s">
        <v>10</v>
      </c>
      <c r="C7" s="2" t="s">
        <v>53</v>
      </c>
      <c r="D7" s="2" t="s">
        <v>96</v>
      </c>
      <c r="E7" s="3">
        <v>45462</v>
      </c>
      <c r="F7" s="4">
        <v>18144</v>
      </c>
      <c r="G7" s="2" t="s">
        <v>130</v>
      </c>
      <c r="H7" s="4">
        <f t="shared" si="0"/>
        <v>17680.047069093973</v>
      </c>
      <c r="I7" s="14">
        <f t="shared" si="5"/>
        <v>46022</v>
      </c>
      <c r="J7" s="1" t="str">
        <f t="shared" ca="1" si="1"/>
        <v>אנא פנה בדחיפות לחברה</v>
      </c>
      <c r="K7" s="23">
        <f>H7/'עידוד  הצמיחה'!$F$53</f>
        <v>5051.4420197411355</v>
      </c>
      <c r="L7" s="35">
        <f t="shared" si="6"/>
        <v>463.95293090602644</v>
      </c>
      <c r="M7" s="35">
        <f t="shared" si="7"/>
        <v>17680.047069093973</v>
      </c>
      <c r="P7" s="1">
        <f t="shared" si="2"/>
        <v>15000</v>
      </c>
      <c r="Q7" s="1">
        <f t="shared" si="3"/>
        <v>8.7666126093569066E-2</v>
      </c>
      <c r="R7" s="1">
        <f t="shared" si="4"/>
        <v>188.33063046784531</v>
      </c>
      <c r="S7" s="52" t="s">
        <v>193</v>
      </c>
      <c r="T7" s="52"/>
    </row>
    <row r="8" spans="1:20" x14ac:dyDescent="0.3">
      <c r="A8" s="2">
        <v>9895</v>
      </c>
      <c r="B8" s="2" t="s">
        <v>11</v>
      </c>
      <c r="C8" s="2" t="s">
        <v>52</v>
      </c>
      <c r="D8" s="2" t="s">
        <v>97</v>
      </c>
      <c r="E8" s="3">
        <v>45389</v>
      </c>
      <c r="F8" s="4">
        <v>68691</v>
      </c>
      <c r="G8" s="2" t="s">
        <v>128</v>
      </c>
      <c r="H8" s="4">
        <f t="shared" si="0"/>
        <v>54123.037393442341</v>
      </c>
      <c r="I8" s="14">
        <f t="shared" si="5"/>
        <v>45961</v>
      </c>
      <c r="J8" s="1" t="str">
        <f t="shared" ca="1" si="1"/>
        <v>אנא פנה בדחיפות לחברה</v>
      </c>
      <c r="K8" s="23">
        <f>H8/'עידוד  הצמיחה'!$F$53</f>
        <v>15463.724969554954</v>
      </c>
      <c r="L8" s="35">
        <f t="shared" si="6"/>
        <v>14567.962606557661</v>
      </c>
      <c r="M8" s="35">
        <f t="shared" si="7"/>
        <v>54123.037393442341</v>
      </c>
      <c r="P8" s="1">
        <f t="shared" si="2"/>
        <v>40000</v>
      </c>
      <c r="Q8" s="1">
        <f t="shared" si="3"/>
        <v>0.33766612609356905</v>
      </c>
      <c r="R8" s="1">
        <f t="shared" si="4"/>
        <v>4879.9837828070722</v>
      </c>
      <c r="S8" s="1" t="s">
        <v>171</v>
      </c>
    </row>
    <row r="9" spans="1:20" x14ac:dyDescent="0.3">
      <c r="A9" s="2">
        <v>3838</v>
      </c>
      <c r="B9" s="2" t="s">
        <v>12</v>
      </c>
      <c r="C9" s="2" t="s">
        <v>54</v>
      </c>
      <c r="D9" s="2" t="s">
        <v>98</v>
      </c>
      <c r="E9" s="3">
        <v>44043</v>
      </c>
      <c r="F9" s="4">
        <v>18465</v>
      </c>
      <c r="G9" s="2" t="s">
        <v>129</v>
      </c>
      <c r="H9" s="4">
        <f t="shared" si="0"/>
        <v>17972.906242617937</v>
      </c>
      <c r="I9" s="14">
        <f t="shared" si="5"/>
        <v>44592</v>
      </c>
      <c r="J9" s="1" t="str">
        <f t="shared" ca="1" si="1"/>
        <v>אנא פנה בדחיפות לחברה</v>
      </c>
      <c r="K9" s="23">
        <f>H9/'עידוד  הצמיחה'!$F$53</f>
        <v>5135.1160693194106</v>
      </c>
      <c r="L9" s="35">
        <f t="shared" si="6"/>
        <v>492.09375738206211</v>
      </c>
      <c r="M9" s="35">
        <f t="shared" si="7"/>
        <v>17972.906242617937</v>
      </c>
      <c r="P9" s="1">
        <f t="shared" si="2"/>
        <v>15000</v>
      </c>
      <c r="Q9" s="1">
        <f t="shared" si="3"/>
        <v>8.7666126093569066E-2</v>
      </c>
      <c r="R9" s="1">
        <f t="shared" si="4"/>
        <v>188.33063046784531</v>
      </c>
      <c r="S9" s="1" t="s">
        <v>172</v>
      </c>
    </row>
    <row r="10" spans="1:20" x14ac:dyDescent="0.3">
      <c r="A10" s="2">
        <v>3146</v>
      </c>
      <c r="B10" s="2" t="s">
        <v>9</v>
      </c>
      <c r="C10" s="2" t="s">
        <v>55</v>
      </c>
      <c r="D10" s="2" t="s">
        <v>99</v>
      </c>
      <c r="E10" s="3">
        <v>44927</v>
      </c>
      <c r="F10" s="4">
        <v>60040</v>
      </c>
      <c r="G10" s="2" t="s">
        <v>130</v>
      </c>
      <c r="H10" s="4">
        <f t="shared" si="0"/>
        <v>48393.187050277804</v>
      </c>
      <c r="I10" s="14">
        <f t="shared" si="5"/>
        <v>45504</v>
      </c>
      <c r="J10" s="1" t="str">
        <f t="shared" ca="1" si="1"/>
        <v>אנא פנה בדחיפות לחברה</v>
      </c>
      <c r="K10" s="23">
        <f>H10/'עידוד  הצמיחה'!$F$53</f>
        <v>13826.624871507944</v>
      </c>
      <c r="L10" s="35">
        <f t="shared" si="6"/>
        <v>11646.812949722196</v>
      </c>
      <c r="M10" s="35">
        <f t="shared" si="7"/>
        <v>48393.187050277804</v>
      </c>
      <c r="P10" s="1">
        <f t="shared" si="2"/>
        <v>40000</v>
      </c>
      <c r="Q10" s="1">
        <f t="shared" si="3"/>
        <v>0.33766612609356905</v>
      </c>
      <c r="R10" s="1">
        <f t="shared" si="4"/>
        <v>4879.9837828070722</v>
      </c>
    </row>
    <row r="11" spans="1:20" x14ac:dyDescent="0.3">
      <c r="A11" s="2">
        <v>8697</v>
      </c>
      <c r="B11" s="2" t="s">
        <v>13</v>
      </c>
      <c r="C11" s="2" t="s">
        <v>56</v>
      </c>
      <c r="D11" s="2" t="s">
        <v>100</v>
      </c>
      <c r="E11" s="3">
        <v>44751</v>
      </c>
      <c r="F11" s="4">
        <v>99630</v>
      </c>
      <c r="G11" s="2" t="s">
        <v>127</v>
      </c>
      <c r="H11" s="4">
        <f t="shared" si="0"/>
        <v>74614.985118233395</v>
      </c>
      <c r="I11" s="14">
        <f t="shared" si="5"/>
        <v>45322</v>
      </c>
      <c r="J11" s="1" t="str">
        <f t="shared" ca="1" si="1"/>
        <v>אנא פנה בדחיפות לחברה</v>
      </c>
      <c r="K11" s="23">
        <f>H11/'עידוד  הצמיחה'!$F$53</f>
        <v>21318.567176638113</v>
      </c>
      <c r="L11" s="35">
        <f t="shared" si="6"/>
        <v>25015.014881766598</v>
      </c>
      <c r="M11" s="35">
        <f t="shared" si="7"/>
        <v>74614.985118233395</v>
      </c>
      <c r="P11" s="1">
        <f t="shared" si="2"/>
        <v>40000</v>
      </c>
      <c r="Q11" s="1">
        <f t="shared" si="3"/>
        <v>0.33766612609356905</v>
      </c>
      <c r="R11" s="1">
        <f t="shared" si="4"/>
        <v>4879.9837828070722</v>
      </c>
      <c r="S11" s="52" t="s">
        <v>173</v>
      </c>
    </row>
    <row r="12" spans="1:20" x14ac:dyDescent="0.3">
      <c r="A12" s="2">
        <v>7126</v>
      </c>
      <c r="B12" s="2" t="s">
        <v>14</v>
      </c>
      <c r="C12" s="2" t="s">
        <v>57</v>
      </c>
      <c r="D12" s="2" t="s">
        <v>101</v>
      </c>
      <c r="E12" s="3">
        <v>44447</v>
      </c>
      <c r="F12" s="4">
        <v>80327</v>
      </c>
      <c r="G12" s="2" t="s">
        <v>127</v>
      </c>
      <c r="H12" s="4">
        <f t="shared" si="0"/>
        <v>61829.954350217566</v>
      </c>
      <c r="I12" s="14">
        <f t="shared" si="5"/>
        <v>45016</v>
      </c>
      <c r="J12" s="1" t="str">
        <f t="shared" ca="1" si="1"/>
        <v>אנא פנה בדחיפות לחברה</v>
      </c>
      <c r="K12" s="23">
        <f>H12/'עידוד  הצמיחה'!$F$53</f>
        <v>17665.701242919306</v>
      </c>
      <c r="L12" s="35">
        <f t="shared" si="6"/>
        <v>18497.045649782431</v>
      </c>
      <c r="M12" s="35">
        <f t="shared" si="7"/>
        <v>61829.954350217566</v>
      </c>
      <c r="P12" s="1">
        <f t="shared" si="2"/>
        <v>40000</v>
      </c>
      <c r="Q12" s="1">
        <f t="shared" si="3"/>
        <v>0.33766612609356905</v>
      </c>
      <c r="R12" s="1">
        <f t="shared" si="4"/>
        <v>4879.9837828070722</v>
      </c>
      <c r="S12" s="1" t="s">
        <v>174</v>
      </c>
    </row>
    <row r="13" spans="1:20" x14ac:dyDescent="0.3">
      <c r="A13" s="2">
        <v>1668</v>
      </c>
      <c r="B13" s="2" t="s">
        <v>15</v>
      </c>
      <c r="C13" s="2" t="s">
        <v>58</v>
      </c>
      <c r="D13" s="2" t="s">
        <v>102</v>
      </c>
      <c r="E13" s="3">
        <v>44246</v>
      </c>
      <c r="F13" s="4">
        <v>45453</v>
      </c>
      <c r="G13" s="2" t="s">
        <v>128</v>
      </c>
      <c r="H13" s="4">
        <f t="shared" si="0"/>
        <v>38731.722831604697</v>
      </c>
      <c r="I13" s="14">
        <f t="shared" si="5"/>
        <v>44804</v>
      </c>
      <c r="J13" s="1" t="str">
        <f t="shared" ca="1" si="1"/>
        <v>אנא פנה בדחיפות לחברה</v>
      </c>
      <c r="K13" s="23">
        <f>H13/'עידוד  הצמיחה'!$F$53</f>
        <v>11066.206523315628</v>
      </c>
      <c r="L13" s="35">
        <f t="shared" si="6"/>
        <v>6721.2771683953042</v>
      </c>
      <c r="M13" s="35">
        <f t="shared" si="7"/>
        <v>38731.722831604697</v>
      </c>
      <c r="P13" s="1">
        <f t="shared" si="2"/>
        <v>40000</v>
      </c>
      <c r="Q13" s="1">
        <f t="shared" si="3"/>
        <v>0.33766612609356905</v>
      </c>
      <c r="R13" s="1">
        <f t="shared" si="4"/>
        <v>4879.9837828070722</v>
      </c>
      <c r="S13" s="1" t="s">
        <v>175</v>
      </c>
    </row>
    <row r="14" spans="1:20" x14ac:dyDescent="0.3">
      <c r="A14" s="2">
        <v>6820</v>
      </c>
      <c r="B14" s="2" t="s">
        <v>16</v>
      </c>
      <c r="C14" s="2" t="s">
        <v>59</v>
      </c>
      <c r="D14" s="2" t="s">
        <v>103</v>
      </c>
      <c r="E14" s="3">
        <v>45125</v>
      </c>
      <c r="F14" s="4">
        <v>39845</v>
      </c>
      <c r="G14" s="2" t="s">
        <v>129</v>
      </c>
      <c r="H14" s="4">
        <f t="shared" si="0"/>
        <v>35009.60446673743</v>
      </c>
      <c r="I14" s="14">
        <f t="shared" si="5"/>
        <v>45688</v>
      </c>
      <c r="J14" s="1" t="str">
        <f t="shared" ca="1" si="1"/>
        <v>אנא פנה בדחיפות לחברה</v>
      </c>
      <c r="K14" s="23">
        <f>H14/'עידוד  הצמיחה'!$F$53</f>
        <v>10002.744133353552</v>
      </c>
      <c r="L14" s="35">
        <f t="shared" si="6"/>
        <v>4835.3955332625692</v>
      </c>
      <c r="M14" s="35">
        <f t="shared" si="7"/>
        <v>35009.60446673743</v>
      </c>
      <c r="P14" s="1">
        <f t="shared" si="2"/>
        <v>35000</v>
      </c>
      <c r="Q14" s="1">
        <f t="shared" si="3"/>
        <v>0.28766612609356906</v>
      </c>
      <c r="R14" s="1">
        <f t="shared" si="4"/>
        <v>3441.6531523392268</v>
      </c>
    </row>
    <row r="15" spans="1:20" x14ac:dyDescent="0.3">
      <c r="A15" s="2">
        <v>9913</v>
      </c>
      <c r="B15" s="2" t="s">
        <v>17</v>
      </c>
      <c r="C15" s="2" t="s">
        <v>60</v>
      </c>
      <c r="D15" s="2" t="s">
        <v>104</v>
      </c>
      <c r="E15" s="3">
        <v>45544</v>
      </c>
      <c r="F15" s="4">
        <v>39649</v>
      </c>
      <c r="G15" s="2" t="s">
        <v>129</v>
      </c>
      <c r="H15" s="4">
        <f t="shared" si="0"/>
        <v>34869.987027451774</v>
      </c>
      <c r="I15" s="14">
        <f t="shared" si="5"/>
        <v>46112</v>
      </c>
      <c r="J15" s="1" t="str">
        <f t="shared" ca="1" si="1"/>
        <v>יום שלישי</v>
      </c>
      <c r="K15" s="23">
        <f>H15/'עידוד  הצמיחה'!$F$53</f>
        <v>9962.8534364147927</v>
      </c>
      <c r="L15" s="35">
        <f t="shared" si="6"/>
        <v>4779.0129725482293</v>
      </c>
      <c r="M15" s="35">
        <f t="shared" si="7"/>
        <v>34869.987027451774</v>
      </c>
      <c r="P15" s="1">
        <f t="shared" si="2"/>
        <v>35000</v>
      </c>
      <c r="Q15" s="1">
        <f t="shared" si="3"/>
        <v>0.28766612609356906</v>
      </c>
      <c r="R15" s="1">
        <f t="shared" si="4"/>
        <v>3441.6531523392268</v>
      </c>
    </row>
    <row r="16" spans="1:20" x14ac:dyDescent="0.3">
      <c r="A16" s="2">
        <v>6959</v>
      </c>
      <c r="B16" s="2" t="s">
        <v>18</v>
      </c>
      <c r="C16" s="2" t="s">
        <v>61</v>
      </c>
      <c r="D16" s="2" t="s">
        <v>105</v>
      </c>
      <c r="E16" s="3">
        <v>44407</v>
      </c>
      <c r="F16" s="4">
        <v>59080</v>
      </c>
      <c r="G16" s="2" t="s">
        <v>129</v>
      </c>
      <c r="H16" s="4">
        <f t="shared" si="0"/>
        <v>47757.346531327632</v>
      </c>
      <c r="I16" s="14">
        <f t="shared" si="5"/>
        <v>44957</v>
      </c>
      <c r="J16" s="1" t="str">
        <f t="shared" ca="1" si="1"/>
        <v>אנא פנה בדחיפות לחברה</v>
      </c>
      <c r="K16" s="23">
        <f>H16/'עידוד  הצמיחה'!$F$53</f>
        <v>13644.956151807895</v>
      </c>
      <c r="L16" s="35">
        <f t="shared" si="6"/>
        <v>11322.65346867237</v>
      </c>
      <c r="M16" s="35">
        <f t="shared" si="7"/>
        <v>47757.346531327632</v>
      </c>
      <c r="P16" s="1">
        <f t="shared" si="2"/>
        <v>40000</v>
      </c>
      <c r="Q16" s="1">
        <f t="shared" si="3"/>
        <v>0.33766612609356905</v>
      </c>
      <c r="R16" s="1">
        <f t="shared" si="4"/>
        <v>4879.9837828070722</v>
      </c>
      <c r="T16" s="1" t="s">
        <v>176</v>
      </c>
    </row>
    <row r="17" spans="1:22" x14ac:dyDescent="0.3">
      <c r="A17" s="2">
        <v>2545</v>
      </c>
      <c r="B17" s="2" t="s">
        <v>19</v>
      </c>
      <c r="C17" s="2" t="s">
        <v>49</v>
      </c>
      <c r="D17" s="2" t="s">
        <v>106</v>
      </c>
      <c r="E17" s="3">
        <v>44198</v>
      </c>
      <c r="F17" s="4">
        <v>44039</v>
      </c>
      <c r="G17" s="2" t="s">
        <v>129</v>
      </c>
      <c r="H17" s="4">
        <f t="shared" si="0"/>
        <v>37795.182733901005</v>
      </c>
      <c r="I17" s="14">
        <f t="shared" si="5"/>
        <v>44773</v>
      </c>
      <c r="J17" s="1" t="str">
        <f t="shared" ca="1" si="1"/>
        <v>אנא פנה בדחיפות לחברה</v>
      </c>
      <c r="K17" s="23">
        <f>H17/'עידוד  הצמיחה'!$F$53</f>
        <v>10798.62363825743</v>
      </c>
      <c r="L17" s="35">
        <f t="shared" si="6"/>
        <v>6243.8172660989976</v>
      </c>
      <c r="M17" s="35">
        <f t="shared" si="7"/>
        <v>37795.182733901005</v>
      </c>
      <c r="P17" s="1">
        <f t="shared" si="2"/>
        <v>40000</v>
      </c>
      <c r="Q17" s="1">
        <f t="shared" si="3"/>
        <v>0.33766612609356905</v>
      </c>
      <c r="R17" s="1">
        <f t="shared" si="4"/>
        <v>4879.9837828070722</v>
      </c>
      <c r="T17" s="13">
        <v>0.05</v>
      </c>
    </row>
    <row r="18" spans="1:22" x14ac:dyDescent="0.3">
      <c r="A18" s="2">
        <v>8665</v>
      </c>
      <c r="B18" s="2" t="s">
        <v>20</v>
      </c>
      <c r="C18" s="2" t="s">
        <v>62</v>
      </c>
      <c r="D18" s="2" t="s">
        <v>99</v>
      </c>
      <c r="E18" s="3">
        <v>44323</v>
      </c>
      <c r="F18" s="4">
        <v>88374</v>
      </c>
      <c r="G18" s="2" t="s">
        <v>130</v>
      </c>
      <c r="H18" s="4">
        <f t="shared" si="0"/>
        <v>67159.75503354262</v>
      </c>
      <c r="I18" s="14">
        <f t="shared" si="5"/>
        <v>44895</v>
      </c>
      <c r="J18" s="1" t="str">
        <f t="shared" ca="1" si="1"/>
        <v>אנא פנה בדחיפות לחברה</v>
      </c>
      <c r="K18" s="23">
        <f>H18/'עידוד  הצמיחה'!$F$53</f>
        <v>19188.501438155035</v>
      </c>
      <c r="L18" s="35">
        <f t="shared" si="6"/>
        <v>21214.24496645738</v>
      </c>
      <c r="M18" s="35">
        <f t="shared" si="7"/>
        <v>67159.75503354262</v>
      </c>
      <c r="P18" s="1">
        <f t="shared" si="2"/>
        <v>40000</v>
      </c>
      <c r="Q18" s="1">
        <f t="shared" si="3"/>
        <v>0.33766612609356905</v>
      </c>
      <c r="R18" s="1">
        <f t="shared" si="4"/>
        <v>4879.9837828070722</v>
      </c>
    </row>
    <row r="19" spans="1:22" x14ac:dyDescent="0.3">
      <c r="A19" s="2">
        <v>7462</v>
      </c>
      <c r="B19" s="2" t="s">
        <v>21</v>
      </c>
      <c r="C19" s="2" t="s">
        <v>63</v>
      </c>
      <c r="D19" s="2" t="s">
        <v>107</v>
      </c>
      <c r="E19" s="3">
        <v>45097</v>
      </c>
      <c r="F19" s="4">
        <v>16410</v>
      </c>
      <c r="G19" s="2" t="s">
        <v>129</v>
      </c>
      <c r="H19" s="4">
        <f t="shared" si="0"/>
        <v>16098.060131740222</v>
      </c>
      <c r="I19" s="14">
        <f t="shared" si="5"/>
        <v>45657</v>
      </c>
      <c r="J19" s="1" t="str">
        <f t="shared" ca="1" si="1"/>
        <v>אנא פנה בדחיפות לחברה</v>
      </c>
      <c r="K19" s="23">
        <f>H19/'עידוד  הצמיחה'!$F$53</f>
        <v>4599.4457519257776</v>
      </c>
      <c r="L19" s="35">
        <f t="shared" si="6"/>
        <v>311.93986825977771</v>
      </c>
      <c r="M19" s="35">
        <f t="shared" si="7"/>
        <v>16098.060131740222</v>
      </c>
      <c r="P19" s="1">
        <f t="shared" si="2"/>
        <v>15000</v>
      </c>
      <c r="Q19" s="1">
        <f t="shared" si="3"/>
        <v>8.7666126093569066E-2</v>
      </c>
      <c r="R19" s="1">
        <f t="shared" si="4"/>
        <v>188.33063046784531</v>
      </c>
    </row>
    <row r="20" spans="1:22" x14ac:dyDescent="0.3">
      <c r="A20" s="2">
        <v>8168</v>
      </c>
      <c r="B20" s="2" t="s">
        <v>22</v>
      </c>
      <c r="C20" s="2" t="s">
        <v>64</v>
      </c>
      <c r="D20" s="2" t="s">
        <v>104</v>
      </c>
      <c r="E20" s="3">
        <v>44821</v>
      </c>
      <c r="F20" s="4">
        <v>77854</v>
      </c>
      <c r="G20" s="2" t="s">
        <v>127</v>
      </c>
      <c r="H20" s="4">
        <f t="shared" si="0"/>
        <v>60192.002680046964</v>
      </c>
      <c r="I20" s="14">
        <f t="shared" si="5"/>
        <v>45382</v>
      </c>
      <c r="J20" s="1" t="str">
        <f t="shared" ca="1" si="1"/>
        <v>אנא פנה בדחיפות לחברה</v>
      </c>
      <c r="K20" s="23">
        <f>H20/'עידוד  הצמיחה'!$F$53</f>
        <v>17197.715051441988</v>
      </c>
      <c r="L20" s="35">
        <f t="shared" si="6"/>
        <v>17661.997319953036</v>
      </c>
      <c r="M20" s="35">
        <f t="shared" si="7"/>
        <v>60192.002680046964</v>
      </c>
      <c r="P20" s="1">
        <f t="shared" si="2"/>
        <v>40000</v>
      </c>
      <c r="Q20" s="1">
        <f t="shared" si="3"/>
        <v>0.33766612609356905</v>
      </c>
      <c r="R20" s="1">
        <f t="shared" si="4"/>
        <v>4879.9837828070722</v>
      </c>
      <c r="T20" s="53">
        <f>SUM(H2:H51)</f>
        <v>2199999.9999999967</v>
      </c>
      <c r="U20" s="1" t="s">
        <v>177</v>
      </c>
    </row>
    <row r="21" spans="1:22" x14ac:dyDescent="0.3">
      <c r="A21" s="2">
        <v>9731</v>
      </c>
      <c r="B21" s="2" t="s">
        <v>23</v>
      </c>
      <c r="C21" s="2" t="s">
        <v>49</v>
      </c>
      <c r="D21" s="2" t="s">
        <v>108</v>
      </c>
      <c r="E21" s="3">
        <v>44806</v>
      </c>
      <c r="F21" s="4">
        <v>62929</v>
      </c>
      <c r="G21" s="2" t="s">
        <v>130</v>
      </c>
      <c r="H21" s="4">
        <f t="shared" si="0"/>
        <v>50306.669611993479</v>
      </c>
      <c r="I21" s="14">
        <f t="shared" si="5"/>
        <v>45382</v>
      </c>
      <c r="J21" s="1" t="str">
        <f t="shared" ca="1" si="1"/>
        <v>אנא פנה בדחיפות לחברה</v>
      </c>
      <c r="K21" s="23">
        <f>H21/'עידוד  הצמיחה'!$F$53</f>
        <v>14373.334174855279</v>
      </c>
      <c r="L21" s="35">
        <f t="shared" si="6"/>
        <v>12622.330388006518</v>
      </c>
      <c r="M21" s="35">
        <f t="shared" si="7"/>
        <v>50306.669611993479</v>
      </c>
      <c r="P21" s="1">
        <f t="shared" si="2"/>
        <v>40000</v>
      </c>
      <c r="Q21" s="1">
        <f t="shared" si="3"/>
        <v>0.33766612609356905</v>
      </c>
      <c r="R21" s="1">
        <f t="shared" si="4"/>
        <v>4879.9837828070722</v>
      </c>
    </row>
    <row r="22" spans="1:22" x14ac:dyDescent="0.3">
      <c r="A22" s="2">
        <v>4149</v>
      </c>
      <c r="B22" s="2" t="s">
        <v>18</v>
      </c>
      <c r="C22" s="2" t="s">
        <v>65</v>
      </c>
      <c r="D22" s="2" t="s">
        <v>107</v>
      </c>
      <c r="E22" s="3">
        <v>43748</v>
      </c>
      <c r="F22" s="4">
        <v>46340</v>
      </c>
      <c r="G22" s="2" t="s">
        <v>127</v>
      </c>
      <c r="H22" s="4">
        <f t="shared" si="0"/>
        <v>39319.2129777597</v>
      </c>
      <c r="I22" s="14">
        <f t="shared" si="5"/>
        <v>44316</v>
      </c>
      <c r="J22" s="1" t="str">
        <f t="shared" ca="1" si="1"/>
        <v>אנא פנה בדחיפות לחברה</v>
      </c>
      <c r="K22" s="23">
        <f>H22/'עידוד  הצמיחה'!$F$53</f>
        <v>11234.060850788486</v>
      </c>
      <c r="L22" s="35">
        <f t="shared" si="6"/>
        <v>7020.7870222402998</v>
      </c>
      <c r="M22" s="35">
        <f t="shared" si="7"/>
        <v>39319.2129777597</v>
      </c>
      <c r="P22" s="1">
        <f t="shared" si="2"/>
        <v>40000</v>
      </c>
      <c r="Q22" s="1">
        <f t="shared" si="3"/>
        <v>0.33766612609356905</v>
      </c>
      <c r="R22" s="1">
        <f t="shared" si="4"/>
        <v>4879.9837828070722</v>
      </c>
    </row>
    <row r="23" spans="1:22" x14ac:dyDescent="0.3">
      <c r="A23" s="2">
        <v>8583</v>
      </c>
      <c r="B23" s="2" t="s">
        <v>24</v>
      </c>
      <c r="C23" s="2" t="s">
        <v>66</v>
      </c>
      <c r="D23" s="2" t="s">
        <v>109</v>
      </c>
      <c r="E23" s="3">
        <v>44162</v>
      </c>
      <c r="F23" s="4">
        <v>40406</v>
      </c>
      <c r="G23" s="2" t="s">
        <v>129</v>
      </c>
      <c r="H23" s="4">
        <f t="shared" si="0"/>
        <v>35388.923769998939</v>
      </c>
      <c r="I23" s="14">
        <f t="shared" si="5"/>
        <v>44712</v>
      </c>
      <c r="J23" s="1" t="str">
        <f t="shared" ca="1" si="1"/>
        <v>אנא פנה בדחיפות לחברה</v>
      </c>
      <c r="K23" s="23">
        <f>H23/'עידוד  הצמיחה'!$F$53</f>
        <v>10111.121077142554</v>
      </c>
      <c r="L23" s="35">
        <f t="shared" si="6"/>
        <v>5017.076230001061</v>
      </c>
      <c r="M23" s="35">
        <f t="shared" si="7"/>
        <v>35388.923769998939</v>
      </c>
      <c r="P23" s="1">
        <f t="shared" si="2"/>
        <v>40000</v>
      </c>
      <c r="Q23" s="1">
        <f t="shared" si="3"/>
        <v>0.33766612609356905</v>
      </c>
      <c r="R23" s="1">
        <f t="shared" si="4"/>
        <v>4879.9837828070722</v>
      </c>
    </row>
    <row r="24" spans="1:22" x14ac:dyDescent="0.3">
      <c r="A24" s="2">
        <v>3322</v>
      </c>
      <c r="B24" s="2" t="s">
        <v>25</v>
      </c>
      <c r="C24" s="2" t="s">
        <v>67</v>
      </c>
      <c r="D24" s="2" t="s">
        <v>110</v>
      </c>
      <c r="E24" s="3">
        <v>44421</v>
      </c>
      <c r="F24" s="4">
        <v>93981</v>
      </c>
      <c r="G24" s="2" t="s">
        <v>129</v>
      </c>
      <c r="H24" s="4">
        <f t="shared" si="0"/>
        <v>70873.461064535979</v>
      </c>
      <c r="I24" s="14">
        <f t="shared" si="5"/>
        <v>44985</v>
      </c>
      <c r="J24" s="1" t="str">
        <f t="shared" ca="1" si="1"/>
        <v>אנא פנה בדחיפות לחברה</v>
      </c>
      <c r="K24" s="23">
        <f>H24/'עידוד  הצמיחה'!$F$53</f>
        <v>20249.560304153136</v>
      </c>
      <c r="L24" s="35">
        <f t="shared" si="6"/>
        <v>23107.538935464021</v>
      </c>
      <c r="M24" s="35">
        <f t="shared" si="7"/>
        <v>70873.461064535979</v>
      </c>
      <c r="P24" s="1">
        <f t="shared" si="2"/>
        <v>40000</v>
      </c>
      <c r="Q24" s="1">
        <f t="shared" si="3"/>
        <v>0.33766612609356905</v>
      </c>
      <c r="R24" s="1">
        <f t="shared" si="4"/>
        <v>4879.9837828070722</v>
      </c>
      <c r="T24" s="11" t="s">
        <v>138</v>
      </c>
      <c r="U24" s="11" t="s">
        <v>139</v>
      </c>
      <c r="V24" s="11" t="s">
        <v>140</v>
      </c>
    </row>
    <row r="25" spans="1:22" x14ac:dyDescent="0.3">
      <c r="A25" s="2">
        <v>5639</v>
      </c>
      <c r="B25" s="2" t="s">
        <v>26</v>
      </c>
      <c r="C25" s="2" t="s">
        <v>68</v>
      </c>
      <c r="D25" s="2" t="s">
        <v>111</v>
      </c>
      <c r="E25" s="3">
        <v>44086</v>
      </c>
      <c r="F25" s="4">
        <v>34298</v>
      </c>
      <c r="G25" s="2" t="s">
        <v>130</v>
      </c>
      <c r="H25" s="4">
        <f t="shared" si="0"/>
        <v>31023.188468178458</v>
      </c>
      <c r="I25" s="14">
        <f t="shared" si="5"/>
        <v>44651</v>
      </c>
      <c r="J25" s="1" t="str">
        <f t="shared" ca="1" si="1"/>
        <v>אנא פנה בדחיפות לחברה</v>
      </c>
      <c r="K25" s="23">
        <f>H25/'עידוד  הצמיחה'!$F$53</f>
        <v>8863.7681337652739</v>
      </c>
      <c r="L25" s="35">
        <f t="shared" si="6"/>
        <v>3274.8115318215414</v>
      </c>
      <c r="M25" s="35">
        <f t="shared" si="7"/>
        <v>31023.188468178458</v>
      </c>
      <c r="P25" s="1">
        <f t="shared" si="2"/>
        <v>30000</v>
      </c>
      <c r="Q25" s="1">
        <f t="shared" si="3"/>
        <v>0.23766612609356907</v>
      </c>
      <c r="R25" s="1">
        <f t="shared" si="4"/>
        <v>2253.3225218713815</v>
      </c>
      <c r="T25" s="33">
        <v>0</v>
      </c>
      <c r="U25" s="34">
        <v>0</v>
      </c>
      <c r="V25" s="33">
        <f>U25*T25</f>
        <v>0</v>
      </c>
    </row>
    <row r="26" spans="1:22" x14ac:dyDescent="0.3">
      <c r="A26" s="2">
        <v>6931</v>
      </c>
      <c r="B26" s="2" t="s">
        <v>27</v>
      </c>
      <c r="C26" s="2" t="s">
        <v>69</v>
      </c>
      <c r="D26" s="2" t="s">
        <v>112</v>
      </c>
      <c r="E26" s="3">
        <v>44716</v>
      </c>
      <c r="F26" s="4">
        <v>34974</v>
      </c>
      <c r="G26" s="2" t="s">
        <v>131</v>
      </c>
      <c r="H26" s="4">
        <f t="shared" si="0"/>
        <v>31538.526166939206</v>
      </c>
      <c r="I26" s="14">
        <f t="shared" si="5"/>
        <v>45291</v>
      </c>
      <c r="J26" s="1" t="str">
        <f t="shared" ca="1" si="1"/>
        <v>אנא פנה בדחיפות לחברה</v>
      </c>
      <c r="K26" s="23">
        <f>H26/'עידוד  הצמיחה'!$F$53</f>
        <v>9011.0074762683453</v>
      </c>
      <c r="L26" s="35">
        <f t="shared" si="6"/>
        <v>3435.4738330607943</v>
      </c>
      <c r="M26" s="35">
        <f t="shared" si="7"/>
        <v>31538.526166939206</v>
      </c>
      <c r="P26" s="1">
        <f t="shared" si="2"/>
        <v>30000</v>
      </c>
      <c r="Q26" s="1">
        <f t="shared" si="3"/>
        <v>0.23766612609356907</v>
      </c>
      <c r="R26" s="1">
        <f t="shared" si="4"/>
        <v>2253.3225218713815</v>
      </c>
      <c r="T26" s="33">
        <v>10000</v>
      </c>
      <c r="U26" s="10">
        <v>3.7666126093569063E-2</v>
      </c>
      <c r="V26" s="9">
        <f>(T26-T25)*U25+V25</f>
        <v>0</v>
      </c>
    </row>
    <row r="27" spans="1:22" x14ac:dyDescent="0.3">
      <c r="A27" s="2">
        <v>1100</v>
      </c>
      <c r="B27" s="2" t="s">
        <v>28</v>
      </c>
      <c r="C27" s="2" t="s">
        <v>70</v>
      </c>
      <c r="D27" s="2" t="s">
        <v>95</v>
      </c>
      <c r="E27" s="3">
        <v>43776</v>
      </c>
      <c r="F27" s="4">
        <v>37460</v>
      </c>
      <c r="G27" s="2" t="s">
        <v>127</v>
      </c>
      <c r="H27" s="4">
        <f t="shared" si="0"/>
        <v>33310.688177470591</v>
      </c>
      <c r="I27" s="14">
        <f t="shared" si="5"/>
        <v>44347</v>
      </c>
      <c r="J27" s="1" t="str">
        <f t="shared" ca="1" si="1"/>
        <v>אנא פנה בדחיפות לחברה</v>
      </c>
      <c r="K27" s="23">
        <f>H27/'עידוד  הצמיחה'!$F$53</f>
        <v>9517.3394792773124</v>
      </c>
      <c r="L27" s="35">
        <f t="shared" si="6"/>
        <v>4149.3118225294065</v>
      </c>
      <c r="M27" s="35">
        <f t="shared" si="7"/>
        <v>33310.688177470591</v>
      </c>
      <c r="P27" s="1">
        <f t="shared" si="2"/>
        <v>35000</v>
      </c>
      <c r="Q27" s="1">
        <f t="shared" si="3"/>
        <v>0.28766612609356906</v>
      </c>
      <c r="R27" s="1">
        <f t="shared" si="4"/>
        <v>3441.6531523392268</v>
      </c>
      <c r="T27" s="9">
        <v>15000</v>
      </c>
      <c r="U27" s="10">
        <f>U26+$T$17</f>
        <v>8.7666126093569066E-2</v>
      </c>
      <c r="V27" s="9">
        <f t="shared" ref="V27:V32" si="8">(T27-T26)*U26+V26</f>
        <v>188.33063046784531</v>
      </c>
    </row>
    <row r="28" spans="1:22" x14ac:dyDescent="0.3">
      <c r="A28" s="2">
        <v>8716</v>
      </c>
      <c r="B28" s="2" t="s">
        <v>29</v>
      </c>
      <c r="C28" s="2" t="s">
        <v>71</v>
      </c>
      <c r="D28" s="2" t="s">
        <v>113</v>
      </c>
      <c r="E28" s="3">
        <v>44648</v>
      </c>
      <c r="F28" s="4">
        <v>91972</v>
      </c>
      <c r="G28" s="2" t="s">
        <v>127</v>
      </c>
      <c r="H28" s="4">
        <f t="shared" si="0"/>
        <v>69542.832311857957</v>
      </c>
      <c r="I28" s="14">
        <f t="shared" si="5"/>
        <v>45199</v>
      </c>
      <c r="J28" s="1" t="str">
        <f t="shared" ca="1" si="1"/>
        <v>אנא פנה בדחיפות לחברה</v>
      </c>
      <c r="K28" s="23">
        <f>H28/'עידוד  הצמיחה'!$F$53</f>
        <v>19869.380660530845</v>
      </c>
      <c r="L28" s="35">
        <f t="shared" si="6"/>
        <v>22429.167688142043</v>
      </c>
      <c r="M28" s="35">
        <f t="shared" si="7"/>
        <v>69542.832311857957</v>
      </c>
      <c r="P28" s="1">
        <f t="shared" si="2"/>
        <v>40000</v>
      </c>
      <c r="Q28" s="1">
        <f t="shared" si="3"/>
        <v>0.33766612609356905</v>
      </c>
      <c r="R28" s="1">
        <f t="shared" si="4"/>
        <v>4879.9837828070722</v>
      </c>
      <c r="T28" s="9">
        <v>20000</v>
      </c>
      <c r="U28" s="10">
        <f t="shared" ref="U28:U32" si="9">U27+$T$17</f>
        <v>0.13766612609356907</v>
      </c>
      <c r="V28" s="9">
        <f t="shared" si="8"/>
        <v>626.66126093569062</v>
      </c>
    </row>
    <row r="29" spans="1:22" x14ac:dyDescent="0.3">
      <c r="A29" s="2">
        <v>2100</v>
      </c>
      <c r="B29" s="2" t="s">
        <v>30</v>
      </c>
      <c r="C29" s="2" t="s">
        <v>72</v>
      </c>
      <c r="D29" s="2" t="s">
        <v>114</v>
      </c>
      <c r="E29" s="3">
        <v>44529</v>
      </c>
      <c r="F29" s="4">
        <v>45647</v>
      </c>
      <c r="G29" s="2" t="s">
        <v>130</v>
      </c>
      <c r="H29" s="4">
        <f t="shared" si="0"/>
        <v>38860.21560314254</v>
      </c>
      <c r="I29" s="14">
        <f t="shared" si="5"/>
        <v>45077</v>
      </c>
      <c r="J29" s="1" t="str">
        <f t="shared" ca="1" si="1"/>
        <v>אנא פנה בדחיפות לחברה</v>
      </c>
      <c r="K29" s="23">
        <f>H29/'עידוד  הצמיחה'!$F$53</f>
        <v>11102.918743755012</v>
      </c>
      <c r="L29" s="35">
        <f t="shared" si="6"/>
        <v>6786.7843968574562</v>
      </c>
      <c r="M29" s="35">
        <f t="shared" si="7"/>
        <v>38860.21560314254</v>
      </c>
      <c r="P29" s="1">
        <f t="shared" si="2"/>
        <v>40000</v>
      </c>
      <c r="Q29" s="1">
        <f t="shared" si="3"/>
        <v>0.33766612609356905</v>
      </c>
      <c r="R29" s="1">
        <f t="shared" si="4"/>
        <v>4879.9837828070722</v>
      </c>
      <c r="T29" s="9">
        <v>25000</v>
      </c>
      <c r="U29" s="10">
        <f t="shared" si="9"/>
        <v>0.18766612609356909</v>
      </c>
      <c r="V29" s="9">
        <f t="shared" si="8"/>
        <v>1314.9918914035361</v>
      </c>
    </row>
    <row r="30" spans="1:22" x14ac:dyDescent="0.3">
      <c r="A30" s="2">
        <v>2557</v>
      </c>
      <c r="B30" s="2" t="s">
        <v>31</v>
      </c>
      <c r="C30" s="2" t="s">
        <v>73</v>
      </c>
      <c r="D30" s="2" t="s">
        <v>115</v>
      </c>
      <c r="E30" s="3">
        <v>44724</v>
      </c>
      <c r="F30" s="4">
        <v>38276</v>
      </c>
      <c r="G30" s="2" t="s">
        <v>128</v>
      </c>
      <c r="H30" s="4">
        <f t="shared" si="0"/>
        <v>33891.952618578238</v>
      </c>
      <c r="I30" s="14">
        <f t="shared" si="5"/>
        <v>45291</v>
      </c>
      <c r="J30" s="1" t="str">
        <f t="shared" ca="1" si="1"/>
        <v>אנא פנה בדחיפות לחברה</v>
      </c>
      <c r="K30" s="23">
        <f>H30/'עידוד  הצמיחה'!$F$53</f>
        <v>9683.4150338794971</v>
      </c>
      <c r="L30" s="35">
        <f t="shared" si="6"/>
        <v>4384.0473814217594</v>
      </c>
      <c r="M30" s="35">
        <f t="shared" si="7"/>
        <v>33891.952618578238</v>
      </c>
      <c r="P30" s="1">
        <f t="shared" si="2"/>
        <v>35000</v>
      </c>
      <c r="Q30" s="1">
        <f t="shared" si="3"/>
        <v>0.28766612609356906</v>
      </c>
      <c r="R30" s="1">
        <f t="shared" si="4"/>
        <v>3441.6531523392268</v>
      </c>
      <c r="T30" s="9">
        <v>30000</v>
      </c>
      <c r="U30" s="10">
        <f t="shared" si="9"/>
        <v>0.23766612609356907</v>
      </c>
      <c r="V30" s="9">
        <f t="shared" si="8"/>
        <v>2253.3225218713815</v>
      </c>
    </row>
    <row r="31" spans="1:22" x14ac:dyDescent="0.3">
      <c r="A31" s="2">
        <v>8177</v>
      </c>
      <c r="B31" s="2" t="s">
        <v>32</v>
      </c>
      <c r="C31" s="2" t="s">
        <v>74</v>
      </c>
      <c r="D31" s="2" t="s">
        <v>116</v>
      </c>
      <c r="E31" s="3">
        <v>43873</v>
      </c>
      <c r="F31" s="4">
        <v>71095</v>
      </c>
      <c r="G31" s="2" t="s">
        <v>128</v>
      </c>
      <c r="H31" s="4">
        <f t="shared" si="0"/>
        <v>55715.288026313399</v>
      </c>
      <c r="I31" s="14">
        <f t="shared" si="5"/>
        <v>44439</v>
      </c>
      <c r="J31" s="1" t="str">
        <f t="shared" ca="1" si="1"/>
        <v>אנא פנה בדחיפות לחברה</v>
      </c>
      <c r="K31" s="23">
        <f>H31/'עידוד  הצמיחה'!$F$53</f>
        <v>15918.653721803828</v>
      </c>
      <c r="L31" s="35">
        <f t="shared" si="6"/>
        <v>15379.711973686603</v>
      </c>
      <c r="M31" s="35">
        <f t="shared" si="7"/>
        <v>55715.288026313399</v>
      </c>
      <c r="P31" s="1">
        <f t="shared" si="2"/>
        <v>40000</v>
      </c>
      <c r="Q31" s="1">
        <f t="shared" si="3"/>
        <v>0.33766612609356905</v>
      </c>
      <c r="R31" s="1">
        <f t="shared" si="4"/>
        <v>4879.9837828070722</v>
      </c>
      <c r="T31" s="9">
        <v>35000</v>
      </c>
      <c r="U31" s="10">
        <f t="shared" si="9"/>
        <v>0.28766612609356906</v>
      </c>
      <c r="V31" s="9">
        <f t="shared" si="8"/>
        <v>3441.6531523392268</v>
      </c>
    </row>
    <row r="32" spans="1:22" x14ac:dyDescent="0.3">
      <c r="A32" s="2">
        <v>9043</v>
      </c>
      <c r="B32" s="2" t="s">
        <v>33</v>
      </c>
      <c r="C32" s="2" t="s">
        <v>75</v>
      </c>
      <c r="D32" s="2" t="s">
        <v>117</v>
      </c>
      <c r="E32" s="3">
        <v>45039</v>
      </c>
      <c r="F32" s="4">
        <v>35185</v>
      </c>
      <c r="G32" s="2" t="s">
        <v>129</v>
      </c>
      <c r="H32" s="4">
        <f t="shared" si="0"/>
        <v>31690.128614333462</v>
      </c>
      <c r="I32" s="14">
        <f t="shared" si="5"/>
        <v>45596</v>
      </c>
      <c r="J32" s="1" t="str">
        <f t="shared" ca="1" si="1"/>
        <v>אנא פנה בדחיפות לחברה</v>
      </c>
      <c r="K32" s="23">
        <f>H32/'עידוד  הצמיחה'!$F$53</f>
        <v>9054.3224612381327</v>
      </c>
      <c r="L32" s="35">
        <f t="shared" si="6"/>
        <v>3494.8713856665372</v>
      </c>
      <c r="M32" s="35">
        <f t="shared" si="7"/>
        <v>31690.128614333462</v>
      </c>
      <c r="P32" s="1">
        <f t="shared" si="2"/>
        <v>35000</v>
      </c>
      <c r="Q32" s="1">
        <f t="shared" si="3"/>
        <v>0.28766612609356906</v>
      </c>
      <c r="R32" s="1">
        <f t="shared" si="4"/>
        <v>3441.6531523392268</v>
      </c>
      <c r="T32" s="9">
        <v>40000</v>
      </c>
      <c r="U32" s="10">
        <f t="shared" si="9"/>
        <v>0.33766612609356905</v>
      </c>
      <c r="V32" s="9">
        <f t="shared" si="8"/>
        <v>4879.9837828070722</v>
      </c>
    </row>
    <row r="33" spans="1:18" x14ac:dyDescent="0.3">
      <c r="A33" s="2">
        <v>2940</v>
      </c>
      <c r="B33" s="2" t="s">
        <v>34</v>
      </c>
      <c r="C33" s="2" t="s">
        <v>76</v>
      </c>
      <c r="D33" s="2" t="s">
        <v>118</v>
      </c>
      <c r="E33" s="3">
        <v>44814</v>
      </c>
      <c r="F33" s="4">
        <v>34103</v>
      </c>
      <c r="G33" s="2" t="s">
        <v>127</v>
      </c>
      <c r="H33" s="4">
        <f t="shared" si="0"/>
        <v>30874.533362766706</v>
      </c>
      <c r="I33" s="14">
        <f t="shared" si="5"/>
        <v>45382</v>
      </c>
      <c r="J33" s="1" t="str">
        <f t="shared" ca="1" si="1"/>
        <v>אנא פנה בדחיפות לחברה</v>
      </c>
      <c r="K33" s="23">
        <f>H33/'עידוד  הצמיחה'!$F$53</f>
        <v>8821.2952465047729</v>
      </c>
      <c r="L33" s="35">
        <f t="shared" si="6"/>
        <v>3228.4666372332954</v>
      </c>
      <c r="M33" s="35">
        <f t="shared" si="7"/>
        <v>30874.533362766706</v>
      </c>
      <c r="P33" s="1">
        <f t="shared" si="2"/>
        <v>30000</v>
      </c>
      <c r="Q33" s="1">
        <f t="shared" si="3"/>
        <v>0.23766612609356907</v>
      </c>
      <c r="R33" s="1">
        <f t="shared" si="4"/>
        <v>2253.3225218713815</v>
      </c>
    </row>
    <row r="34" spans="1:18" x14ac:dyDescent="0.3">
      <c r="A34" s="2">
        <v>6325</v>
      </c>
      <c r="B34" s="2" t="s">
        <v>32</v>
      </c>
      <c r="C34" s="2" t="s">
        <v>77</v>
      </c>
      <c r="D34" s="2" t="s">
        <v>119</v>
      </c>
      <c r="E34" s="3">
        <v>44994</v>
      </c>
      <c r="F34" s="4">
        <v>33853</v>
      </c>
      <c r="G34" s="2" t="s">
        <v>130</v>
      </c>
      <c r="H34" s="4">
        <f t="shared" ref="H34:H51" si="10">F34-(VLOOKUP(F34,$T$25:$V$32,3,TRUE)+(F34-VLOOKUP(F34,$T$25:$V$32,1,TRUE))*VLOOKUP(F34,$T$25:$V$32,2,TRUE))</f>
        <v>30683.949894290097</v>
      </c>
      <c r="I34" s="14">
        <f t="shared" si="5"/>
        <v>45565</v>
      </c>
      <c r="J34" s="1" t="str">
        <f t="shared" ref="J34:J65" ca="1" si="11">IF(I34&lt;=TODAY(), $S$62,IF(OR(TEXT(I34,"DDDD")=$R$59,TEXT(I34,"DDDD")=$R$60),$S$59,TEXT(I34,"DDDD")))</f>
        <v>אנא פנה בדחיפות לחברה</v>
      </c>
      <c r="K34" s="23">
        <f>H34/'עידוד  הצמיחה'!$F$53</f>
        <v>8766.8428269400283</v>
      </c>
      <c r="L34" s="35">
        <f t="shared" si="6"/>
        <v>3169.0501057099032</v>
      </c>
      <c r="M34" s="35">
        <f t="shared" si="7"/>
        <v>30683.949894290097</v>
      </c>
      <c r="P34" s="1">
        <f t="shared" ref="P34:P51" si="12">_xlfn.XLOOKUP(F34,$T$25:$T$32,$T$25:$T$32,,-1)</f>
        <v>30000</v>
      </c>
      <c r="Q34" s="1">
        <f t="shared" ref="Q34:Q51" si="13">_xlfn.XLOOKUP(F34,$T$25:$T$32,$U$25:$U$32,,-1)</f>
        <v>0.23766612609356907</v>
      </c>
      <c r="R34" s="1">
        <f t="shared" ref="R34:R51" si="14">_xlfn.XLOOKUP(F34,$T$25:$T$32,$V$25:$V$32,,-1)</f>
        <v>2253.3225218713815</v>
      </c>
    </row>
    <row r="35" spans="1:18" x14ac:dyDescent="0.3">
      <c r="A35" s="2">
        <v>3363</v>
      </c>
      <c r="B35" s="2" t="s">
        <v>11</v>
      </c>
      <c r="C35" s="2" t="s">
        <v>78</v>
      </c>
      <c r="D35" s="2" t="s">
        <v>120</v>
      </c>
      <c r="E35" s="3">
        <v>44300</v>
      </c>
      <c r="F35" s="4">
        <v>17796</v>
      </c>
      <c r="G35" s="2" t="s">
        <v>131</v>
      </c>
      <c r="H35" s="4">
        <f t="shared" si="10"/>
        <v>17362.554880974534</v>
      </c>
      <c r="I35" s="14">
        <f t="shared" si="5"/>
        <v>44865</v>
      </c>
      <c r="J35" s="1" t="str">
        <f t="shared" ca="1" si="11"/>
        <v>אנא פנה בדחיפות לחברה</v>
      </c>
      <c r="K35" s="23">
        <f>H35/'עידוד  הצמיחה'!$F$53</f>
        <v>4960.7299659927239</v>
      </c>
      <c r="L35" s="35">
        <f t="shared" si="6"/>
        <v>433.44511902546441</v>
      </c>
      <c r="M35" s="35">
        <f t="shared" si="7"/>
        <v>17362.554880974534</v>
      </c>
      <c r="P35" s="1">
        <f t="shared" si="12"/>
        <v>15000</v>
      </c>
      <c r="Q35" s="1">
        <f t="shared" si="13"/>
        <v>8.7666126093569066E-2</v>
      </c>
      <c r="R35" s="1">
        <f t="shared" si="14"/>
        <v>188.33063046784531</v>
      </c>
    </row>
    <row r="36" spans="1:18" x14ac:dyDescent="0.3">
      <c r="A36" s="2">
        <v>9371</v>
      </c>
      <c r="B36" s="2" t="s">
        <v>35</v>
      </c>
      <c r="C36" s="2" t="s">
        <v>79</v>
      </c>
      <c r="D36" s="2" t="s">
        <v>121</v>
      </c>
      <c r="E36" s="3">
        <v>44047</v>
      </c>
      <c r="F36" s="4">
        <v>67184</v>
      </c>
      <c r="G36" s="2" t="s">
        <v>129</v>
      </c>
      <c r="H36" s="4">
        <f t="shared" si="10"/>
        <v>53124.900245465346</v>
      </c>
      <c r="I36" s="14">
        <f t="shared" si="5"/>
        <v>44620</v>
      </c>
      <c r="J36" s="1" t="str">
        <f t="shared" ca="1" si="11"/>
        <v>אנא פנה בדחיפות לחברה</v>
      </c>
      <c r="K36" s="23">
        <f>H36/'עידוד  הצמיחה'!$F$53</f>
        <v>15178.542927275814</v>
      </c>
      <c r="L36" s="35">
        <f t="shared" si="6"/>
        <v>14059.099754534653</v>
      </c>
      <c r="M36" s="35">
        <f t="shared" si="7"/>
        <v>53124.900245465346</v>
      </c>
      <c r="P36" s="1">
        <f t="shared" si="12"/>
        <v>40000</v>
      </c>
      <c r="Q36" s="1">
        <f t="shared" si="13"/>
        <v>0.33766612609356905</v>
      </c>
      <c r="R36" s="1">
        <f t="shared" si="14"/>
        <v>4879.9837828070722</v>
      </c>
    </row>
    <row r="37" spans="1:18" x14ac:dyDescent="0.3">
      <c r="A37" s="2">
        <v>6909</v>
      </c>
      <c r="B37" s="2" t="s">
        <v>36</v>
      </c>
      <c r="C37" s="2" t="s">
        <v>80</v>
      </c>
      <c r="D37" s="2" t="s">
        <v>134</v>
      </c>
      <c r="E37" s="3">
        <v>45005</v>
      </c>
      <c r="F37" s="4">
        <v>25505</v>
      </c>
      <c r="G37" s="2" t="s">
        <v>131</v>
      </c>
      <c r="H37" s="4">
        <f t="shared" si="10"/>
        <v>24095.23671491921</v>
      </c>
      <c r="I37" s="14">
        <f t="shared" si="5"/>
        <v>45565</v>
      </c>
      <c r="J37" s="1" t="str">
        <f t="shared" ca="1" si="11"/>
        <v>אנא פנה בדחיפות לחברה</v>
      </c>
      <c r="K37" s="23">
        <f>H37/'עידוד  הצמיחה'!$F$53</f>
        <v>6884.3533471197743</v>
      </c>
      <c r="L37" s="35">
        <f t="shared" si="6"/>
        <v>1409.7632850807886</v>
      </c>
      <c r="M37" s="35">
        <f t="shared" si="7"/>
        <v>24095.23671491921</v>
      </c>
      <c r="P37" s="1">
        <f t="shared" si="12"/>
        <v>25000</v>
      </c>
      <c r="Q37" s="1">
        <f t="shared" si="13"/>
        <v>0.18766612609356909</v>
      </c>
      <c r="R37" s="1">
        <f t="shared" si="14"/>
        <v>1314.9918914035361</v>
      </c>
    </row>
    <row r="38" spans="1:18" x14ac:dyDescent="0.3">
      <c r="A38" s="2">
        <v>4367</v>
      </c>
      <c r="B38" s="2" t="s">
        <v>31</v>
      </c>
      <c r="C38" s="2" t="s">
        <v>48</v>
      </c>
      <c r="D38" s="2" t="s">
        <v>122</v>
      </c>
      <c r="E38" s="3">
        <v>45540</v>
      </c>
      <c r="F38" s="4">
        <v>32359</v>
      </c>
      <c r="G38" s="2" t="s">
        <v>127</v>
      </c>
      <c r="H38" s="4">
        <f t="shared" si="10"/>
        <v>29545.023086673889</v>
      </c>
      <c r="I38" s="14">
        <f t="shared" si="5"/>
        <v>46112</v>
      </c>
      <c r="J38" s="1" t="str">
        <f t="shared" ca="1" si="11"/>
        <v>יום שלישי</v>
      </c>
      <c r="K38" s="23">
        <f>H38/'עידוד  הצמיחה'!$F$53</f>
        <v>8441.4351676211118</v>
      </c>
      <c r="L38" s="35">
        <f t="shared" si="6"/>
        <v>2813.9769133261107</v>
      </c>
      <c r="M38" s="35">
        <f t="shared" si="7"/>
        <v>29545.023086673889</v>
      </c>
      <c r="P38" s="1">
        <f t="shared" si="12"/>
        <v>30000</v>
      </c>
      <c r="Q38" s="1">
        <f t="shared" si="13"/>
        <v>0.23766612609356907</v>
      </c>
      <c r="R38" s="1">
        <f t="shared" si="14"/>
        <v>2253.3225218713815</v>
      </c>
    </row>
    <row r="39" spans="1:18" x14ac:dyDescent="0.3">
      <c r="A39" s="2">
        <v>8192</v>
      </c>
      <c r="B39" s="2" t="s">
        <v>37</v>
      </c>
      <c r="C39" s="2" t="s">
        <v>81</v>
      </c>
      <c r="D39" s="2" t="s">
        <v>99</v>
      </c>
      <c r="E39" s="3">
        <v>45488</v>
      </c>
      <c r="F39" s="4">
        <v>71321</v>
      </c>
      <c r="G39" s="2" t="s">
        <v>128</v>
      </c>
      <c r="H39" s="4">
        <f t="shared" si="10"/>
        <v>55864.975481816247</v>
      </c>
      <c r="I39" s="14">
        <f t="shared" si="5"/>
        <v>46053</v>
      </c>
      <c r="J39" s="1" t="str">
        <f t="shared" ca="1" si="11"/>
        <v>אנא פנה בדחיפות לחברה</v>
      </c>
      <c r="K39" s="23">
        <f>H39/'עידוד  הצמיחה'!$F$53</f>
        <v>15961.421566233214</v>
      </c>
      <c r="L39" s="35">
        <f t="shared" si="6"/>
        <v>15456.024518183749</v>
      </c>
      <c r="M39" s="35">
        <f t="shared" si="7"/>
        <v>55864.975481816247</v>
      </c>
      <c r="P39" s="1">
        <f t="shared" si="12"/>
        <v>40000</v>
      </c>
      <c r="Q39" s="1">
        <f t="shared" si="13"/>
        <v>0.33766612609356905</v>
      </c>
      <c r="R39" s="1">
        <f t="shared" si="14"/>
        <v>4879.9837828070722</v>
      </c>
    </row>
    <row r="40" spans="1:18" x14ac:dyDescent="0.3">
      <c r="A40" s="2">
        <v>8345</v>
      </c>
      <c r="B40" s="2" t="s">
        <v>28</v>
      </c>
      <c r="C40" s="2" t="s">
        <v>82</v>
      </c>
      <c r="D40" s="2" t="s">
        <v>99</v>
      </c>
      <c r="E40" s="3">
        <v>45171</v>
      </c>
      <c r="F40" s="4">
        <v>81110</v>
      </c>
      <c r="G40" s="2" t="s">
        <v>128</v>
      </c>
      <c r="H40" s="4">
        <f t="shared" si="10"/>
        <v>62348.561773486304</v>
      </c>
      <c r="I40" s="14">
        <f t="shared" si="5"/>
        <v>45747</v>
      </c>
      <c r="J40" s="1" t="str">
        <f t="shared" ca="1" si="11"/>
        <v>אנא פנה בדחיפות לחברה</v>
      </c>
      <c r="K40" s="23">
        <f>H40/'עידוד  הצמיחה'!$F$53</f>
        <v>17813.87479242466</v>
      </c>
      <c r="L40" s="35">
        <f t="shared" si="6"/>
        <v>18761.438226513696</v>
      </c>
      <c r="M40" s="35">
        <f t="shared" si="7"/>
        <v>62348.561773486304</v>
      </c>
      <c r="P40" s="1">
        <f t="shared" si="12"/>
        <v>40000</v>
      </c>
      <c r="Q40" s="1">
        <f t="shared" si="13"/>
        <v>0.33766612609356905</v>
      </c>
      <c r="R40" s="1">
        <f t="shared" si="14"/>
        <v>4879.9837828070722</v>
      </c>
    </row>
    <row r="41" spans="1:18" x14ac:dyDescent="0.3">
      <c r="A41" s="2">
        <v>4957</v>
      </c>
      <c r="B41" s="2" t="s">
        <v>38</v>
      </c>
      <c r="C41" s="2" t="s">
        <v>83</v>
      </c>
      <c r="D41" s="2" t="s">
        <v>114</v>
      </c>
      <c r="E41" s="3">
        <v>44581</v>
      </c>
      <c r="F41" s="4">
        <v>66042</v>
      </c>
      <c r="G41" s="2" t="s">
        <v>131</v>
      </c>
      <c r="H41" s="4">
        <f t="shared" si="10"/>
        <v>52368.5149614642</v>
      </c>
      <c r="I41" s="14">
        <f t="shared" si="5"/>
        <v>45138</v>
      </c>
      <c r="J41" s="1" t="str">
        <f t="shared" ca="1" si="11"/>
        <v>אנא פנה בדחיפות לחברה</v>
      </c>
      <c r="K41" s="23">
        <f>H41/'עידוד  הצמיחה'!$F$53</f>
        <v>14962.432846132628</v>
      </c>
      <c r="L41" s="35">
        <f t="shared" si="6"/>
        <v>13673.485038535797</v>
      </c>
      <c r="M41" s="35">
        <f t="shared" si="7"/>
        <v>52368.5149614642</v>
      </c>
      <c r="P41" s="1">
        <f t="shared" si="12"/>
        <v>40000</v>
      </c>
      <c r="Q41" s="1">
        <f t="shared" si="13"/>
        <v>0.33766612609356905</v>
      </c>
      <c r="R41" s="1">
        <f t="shared" si="14"/>
        <v>4879.9837828070722</v>
      </c>
    </row>
    <row r="42" spans="1:18" x14ac:dyDescent="0.3">
      <c r="A42" s="2">
        <v>4884</v>
      </c>
      <c r="B42" s="2" t="s">
        <v>39</v>
      </c>
      <c r="C42" s="2" t="s">
        <v>84</v>
      </c>
      <c r="D42" s="2" t="s">
        <v>113</v>
      </c>
      <c r="E42" s="3">
        <v>44873</v>
      </c>
      <c r="F42" s="4">
        <v>95922</v>
      </c>
      <c r="G42" s="2" t="s">
        <v>127</v>
      </c>
      <c r="H42" s="4">
        <f t="shared" si="10"/>
        <v>72159.051113788359</v>
      </c>
      <c r="I42" s="14">
        <f t="shared" si="5"/>
        <v>45443</v>
      </c>
      <c r="J42" s="1" t="str">
        <f t="shared" ca="1" si="11"/>
        <v>אנא פנה בדחיפות לחברה</v>
      </c>
      <c r="K42" s="23">
        <f>H42/'עידוד  הצמיחה'!$F$53</f>
        <v>20616.871746796674</v>
      </c>
      <c r="L42" s="35">
        <f t="shared" si="6"/>
        <v>23762.948886211641</v>
      </c>
      <c r="M42" s="35">
        <f t="shared" si="7"/>
        <v>72159.051113788359</v>
      </c>
      <c r="P42" s="1">
        <f t="shared" si="12"/>
        <v>40000</v>
      </c>
      <c r="Q42" s="1">
        <f t="shared" si="13"/>
        <v>0.33766612609356905</v>
      </c>
      <c r="R42" s="1">
        <f t="shared" si="14"/>
        <v>4879.9837828070722</v>
      </c>
    </row>
    <row r="43" spans="1:18" x14ac:dyDescent="0.3">
      <c r="A43" s="2">
        <v>2962</v>
      </c>
      <c r="B43" s="2" t="s">
        <v>40</v>
      </c>
      <c r="C43" s="2" t="s">
        <v>85</v>
      </c>
      <c r="D43" s="2" t="s">
        <v>112</v>
      </c>
      <c r="E43" s="3">
        <v>45188</v>
      </c>
      <c r="F43" s="4">
        <v>34222</v>
      </c>
      <c r="G43" s="2" t="s">
        <v>131</v>
      </c>
      <c r="H43" s="4">
        <f t="shared" si="10"/>
        <v>30965.25109376157</v>
      </c>
      <c r="I43" s="14">
        <f t="shared" si="5"/>
        <v>45747</v>
      </c>
      <c r="J43" s="1" t="str">
        <f t="shared" ca="1" si="11"/>
        <v>אנא פנה בדחיפות לחברה</v>
      </c>
      <c r="K43" s="23">
        <f>H43/'עידוד  הצמיחה'!$F$53</f>
        <v>8847.2145982175916</v>
      </c>
      <c r="L43" s="35">
        <f t="shared" si="6"/>
        <v>3256.7489062384302</v>
      </c>
      <c r="M43" s="35">
        <f t="shared" si="7"/>
        <v>30965.25109376157</v>
      </c>
      <c r="P43" s="1">
        <f t="shared" si="12"/>
        <v>30000</v>
      </c>
      <c r="Q43" s="1">
        <f t="shared" si="13"/>
        <v>0.23766612609356907</v>
      </c>
      <c r="R43" s="1">
        <f t="shared" si="14"/>
        <v>2253.3225218713815</v>
      </c>
    </row>
    <row r="44" spans="1:18" x14ac:dyDescent="0.3">
      <c r="A44" s="2">
        <v>6595</v>
      </c>
      <c r="B44" s="2" t="s">
        <v>9</v>
      </c>
      <c r="C44" s="2" t="s">
        <v>86</v>
      </c>
      <c r="D44" s="2" t="s">
        <v>123</v>
      </c>
      <c r="E44" s="3">
        <v>43737</v>
      </c>
      <c r="F44" s="4">
        <v>72678</v>
      </c>
      <c r="G44" s="2" t="s">
        <v>130</v>
      </c>
      <c r="H44" s="4">
        <f t="shared" si="10"/>
        <v>56763.76254870728</v>
      </c>
      <c r="I44" s="14">
        <f t="shared" si="5"/>
        <v>44286</v>
      </c>
      <c r="J44" s="1" t="str">
        <f t="shared" ca="1" si="11"/>
        <v>אנא פנה בדחיפות לחברה</v>
      </c>
      <c r="K44" s="23">
        <f>H44/'עידוד  הצמיחה'!$F$53</f>
        <v>16218.217871059223</v>
      </c>
      <c r="L44" s="35">
        <f t="shared" si="6"/>
        <v>15914.237451292722</v>
      </c>
      <c r="M44" s="35">
        <f t="shared" si="7"/>
        <v>56763.76254870728</v>
      </c>
      <c r="P44" s="1">
        <f t="shared" si="12"/>
        <v>40000</v>
      </c>
      <c r="Q44" s="1">
        <f t="shared" si="13"/>
        <v>0.33766612609356905</v>
      </c>
      <c r="R44" s="1">
        <f t="shared" si="14"/>
        <v>4879.9837828070722</v>
      </c>
    </row>
    <row r="45" spans="1:18" x14ac:dyDescent="0.3">
      <c r="A45" s="2">
        <v>6311</v>
      </c>
      <c r="B45" s="2" t="s">
        <v>41</v>
      </c>
      <c r="C45" s="2" t="s">
        <v>87</v>
      </c>
      <c r="D45" s="2" t="s">
        <v>97</v>
      </c>
      <c r="E45" s="3">
        <v>45480</v>
      </c>
      <c r="F45" s="4">
        <v>79903</v>
      </c>
      <c r="G45" s="2" t="s">
        <v>127</v>
      </c>
      <c r="H45" s="4">
        <f t="shared" si="10"/>
        <v>61549.124787681241</v>
      </c>
      <c r="I45" s="14">
        <f t="shared" si="5"/>
        <v>46053</v>
      </c>
      <c r="J45" s="1" t="str">
        <f t="shared" ca="1" si="11"/>
        <v>אנא פנה בדחיפות לחברה</v>
      </c>
      <c r="K45" s="23">
        <f>H45/'עידוד  הצמיחה'!$F$53</f>
        <v>17585.464225051783</v>
      </c>
      <c r="L45" s="35">
        <f t="shared" si="6"/>
        <v>18353.875212318759</v>
      </c>
      <c r="M45" s="35">
        <f t="shared" si="7"/>
        <v>61549.124787681241</v>
      </c>
      <c r="P45" s="1">
        <f t="shared" si="12"/>
        <v>40000</v>
      </c>
      <c r="Q45" s="1">
        <f t="shared" si="13"/>
        <v>0.33766612609356905</v>
      </c>
      <c r="R45" s="1">
        <f t="shared" si="14"/>
        <v>4879.9837828070722</v>
      </c>
    </row>
    <row r="46" spans="1:18" x14ac:dyDescent="0.3">
      <c r="A46" s="2">
        <v>8473</v>
      </c>
      <c r="B46" s="2" t="s">
        <v>42</v>
      </c>
      <c r="C46" s="2" t="s">
        <v>88</v>
      </c>
      <c r="D46" s="2" t="s">
        <v>91</v>
      </c>
      <c r="E46" s="3">
        <v>45364</v>
      </c>
      <c r="F46" s="4">
        <v>69665</v>
      </c>
      <c r="G46" s="2" t="s">
        <v>128</v>
      </c>
      <c r="H46" s="4">
        <f t="shared" si="10"/>
        <v>54768.150586627205</v>
      </c>
      <c r="I46" s="14">
        <f t="shared" si="5"/>
        <v>45930</v>
      </c>
      <c r="J46" s="1" t="str">
        <f t="shared" ca="1" si="11"/>
        <v>אנא פנה בדחיפות לחברה</v>
      </c>
      <c r="K46" s="23">
        <f>H46/'עידוד  הצמיחה'!$F$53</f>
        <v>15648.04302475063</v>
      </c>
      <c r="L46" s="35">
        <f t="shared" si="6"/>
        <v>14896.849413372798</v>
      </c>
      <c r="M46" s="35">
        <f t="shared" si="7"/>
        <v>54768.150586627205</v>
      </c>
      <c r="P46" s="1">
        <f t="shared" si="12"/>
        <v>40000</v>
      </c>
      <c r="Q46" s="1">
        <f t="shared" si="13"/>
        <v>0.33766612609356905</v>
      </c>
      <c r="R46" s="1">
        <f t="shared" si="14"/>
        <v>4879.9837828070722</v>
      </c>
    </row>
    <row r="47" spans="1:18" x14ac:dyDescent="0.3">
      <c r="A47" s="2">
        <v>5117</v>
      </c>
      <c r="B47" s="2" t="s">
        <v>43</v>
      </c>
      <c r="C47" s="2" t="s">
        <v>60</v>
      </c>
      <c r="D47" s="2" t="s">
        <v>124</v>
      </c>
      <c r="E47" s="3">
        <v>44813</v>
      </c>
      <c r="F47" s="4">
        <v>42327</v>
      </c>
      <c r="G47" s="2" t="s">
        <v>127</v>
      </c>
      <c r="H47" s="4">
        <f t="shared" si="10"/>
        <v>36661.267141773191</v>
      </c>
      <c r="I47" s="14">
        <f t="shared" si="5"/>
        <v>45382</v>
      </c>
      <c r="J47" s="1" t="str">
        <f t="shared" ca="1" si="11"/>
        <v>אנא פנה בדחיפות לחברה</v>
      </c>
      <c r="K47" s="23">
        <f>H47/'עידוד  הצמיחה'!$F$53</f>
        <v>10474.64775479234</v>
      </c>
      <c r="L47" s="35">
        <f t="shared" si="6"/>
        <v>5665.7328582268074</v>
      </c>
      <c r="M47" s="35">
        <f t="shared" si="7"/>
        <v>36661.267141773191</v>
      </c>
      <c r="P47" s="1">
        <f t="shared" si="12"/>
        <v>40000</v>
      </c>
      <c r="Q47" s="1">
        <f t="shared" si="13"/>
        <v>0.33766612609356905</v>
      </c>
      <c r="R47" s="1">
        <f t="shared" si="14"/>
        <v>4879.9837828070722</v>
      </c>
    </row>
    <row r="48" spans="1:18" x14ac:dyDescent="0.3">
      <c r="A48" s="2">
        <v>3786</v>
      </c>
      <c r="B48" s="2" t="s">
        <v>44</v>
      </c>
      <c r="C48" s="2" t="s">
        <v>48</v>
      </c>
      <c r="D48" s="2" t="s">
        <v>107</v>
      </c>
      <c r="E48" s="3">
        <v>44445</v>
      </c>
      <c r="F48" s="4">
        <v>40371</v>
      </c>
      <c r="G48" s="2" t="s">
        <v>130</v>
      </c>
      <c r="H48" s="4">
        <f t="shared" si="10"/>
        <v>35365.74208441221</v>
      </c>
      <c r="I48" s="14">
        <f t="shared" si="5"/>
        <v>45016</v>
      </c>
      <c r="J48" s="1" t="str">
        <f t="shared" ca="1" si="11"/>
        <v>אנא פנה בדחיפות לחברה</v>
      </c>
      <c r="K48" s="23">
        <f>H48/'עידוד  הצמיחה'!$F$53</f>
        <v>10104.497738403488</v>
      </c>
      <c r="L48" s="35">
        <f t="shared" si="6"/>
        <v>5005.2579155877866</v>
      </c>
      <c r="M48" s="35">
        <f t="shared" si="7"/>
        <v>35365.74208441221</v>
      </c>
      <c r="P48" s="1">
        <f t="shared" si="12"/>
        <v>40000</v>
      </c>
      <c r="Q48" s="1">
        <f t="shared" si="13"/>
        <v>0.33766612609356905</v>
      </c>
      <c r="R48" s="1">
        <f t="shared" si="14"/>
        <v>4879.9837828070722</v>
      </c>
    </row>
    <row r="49" spans="1:22" x14ac:dyDescent="0.3">
      <c r="A49" s="2">
        <v>8059</v>
      </c>
      <c r="B49" s="2" t="s">
        <v>45</v>
      </c>
      <c r="C49" s="2" t="s">
        <v>89</v>
      </c>
      <c r="D49" s="2" t="s">
        <v>125</v>
      </c>
      <c r="E49" s="3">
        <v>45537</v>
      </c>
      <c r="F49" s="4">
        <v>61807</v>
      </c>
      <c r="G49" s="2" t="s">
        <v>130</v>
      </c>
      <c r="H49" s="4">
        <f t="shared" si="10"/>
        <v>49563.531005470468</v>
      </c>
      <c r="I49" s="14">
        <f t="shared" si="5"/>
        <v>46112</v>
      </c>
      <c r="J49" s="1" t="str">
        <f t="shared" ca="1" si="11"/>
        <v>יום שלישי</v>
      </c>
      <c r="K49" s="23">
        <f>H49/'עידוד  הצמיחה'!$F$53</f>
        <v>14161.008858705847</v>
      </c>
      <c r="L49" s="35">
        <f t="shared" si="6"/>
        <v>12243.468994529532</v>
      </c>
      <c r="M49" s="35">
        <f t="shared" si="7"/>
        <v>49563.531005470468</v>
      </c>
      <c r="P49" s="1">
        <f t="shared" si="12"/>
        <v>40000</v>
      </c>
      <c r="Q49" s="1">
        <f t="shared" si="13"/>
        <v>0.33766612609356905</v>
      </c>
      <c r="R49" s="1">
        <f t="shared" si="14"/>
        <v>4879.9837828070722</v>
      </c>
    </row>
    <row r="50" spans="1:22" x14ac:dyDescent="0.3">
      <c r="A50" s="2">
        <v>6470</v>
      </c>
      <c r="B50" s="2" t="s">
        <v>46</v>
      </c>
      <c r="C50" s="2" t="s">
        <v>49</v>
      </c>
      <c r="D50" s="2" t="s">
        <v>43</v>
      </c>
      <c r="E50" s="3">
        <v>44330</v>
      </c>
      <c r="F50" s="4">
        <v>52973</v>
      </c>
      <c r="G50" s="2" t="s">
        <v>129</v>
      </c>
      <c r="H50" s="4">
        <f t="shared" si="10"/>
        <v>43712.473563381056</v>
      </c>
      <c r="I50" s="14">
        <f t="shared" si="5"/>
        <v>44895</v>
      </c>
      <c r="J50" s="1" t="str">
        <f t="shared" ca="1" si="11"/>
        <v>אנא פנה בדחיפות לחברה</v>
      </c>
      <c r="K50" s="23">
        <f>H50/'עידוד  הצמיחה'!$F$53</f>
        <v>12489.278160966016</v>
      </c>
      <c r="L50" s="35">
        <f t="shared" si="6"/>
        <v>9260.526436618944</v>
      </c>
      <c r="M50" s="35">
        <f t="shared" si="7"/>
        <v>43712.473563381056</v>
      </c>
      <c r="P50" s="1">
        <f t="shared" si="12"/>
        <v>40000</v>
      </c>
      <c r="Q50" s="1">
        <f t="shared" si="13"/>
        <v>0.33766612609356905</v>
      </c>
      <c r="R50" s="1">
        <f t="shared" si="14"/>
        <v>4879.9837828070722</v>
      </c>
    </row>
    <row r="51" spans="1:22" x14ac:dyDescent="0.3">
      <c r="A51" s="2">
        <v>5893</v>
      </c>
      <c r="B51" s="2" t="s">
        <v>47</v>
      </c>
      <c r="C51" s="2" t="s">
        <v>90</v>
      </c>
      <c r="D51" s="2" t="s">
        <v>126</v>
      </c>
      <c r="E51" s="3">
        <v>44650</v>
      </c>
      <c r="F51" s="4">
        <v>27087</v>
      </c>
      <c r="G51" s="2" t="s">
        <v>129</v>
      </c>
      <c r="H51" s="4">
        <f t="shared" si="10"/>
        <v>25380.348903439186</v>
      </c>
      <c r="I51" s="14">
        <f t="shared" si="5"/>
        <v>45199</v>
      </c>
      <c r="J51" s="1" t="str">
        <f t="shared" ca="1" si="11"/>
        <v>אנא פנה בדחיפות לחברה</v>
      </c>
      <c r="K51" s="23">
        <f>H51/'עידוד  הצמיחה'!$F$53</f>
        <v>7251.5282581254814</v>
      </c>
      <c r="M51" s="35">
        <f t="shared" si="7"/>
        <v>27087</v>
      </c>
      <c r="P51" s="1">
        <f t="shared" si="12"/>
        <v>25000</v>
      </c>
      <c r="Q51" s="1">
        <f t="shared" si="13"/>
        <v>0.18766612609356909</v>
      </c>
      <c r="R51" s="1">
        <f t="shared" si="14"/>
        <v>1314.9918914035361</v>
      </c>
    </row>
    <row r="53" spans="1:22" x14ac:dyDescent="0.3">
      <c r="E53" s="1" t="s">
        <v>152</v>
      </c>
      <c r="F53">
        <v>3.5</v>
      </c>
    </row>
    <row r="59" spans="1:22" x14ac:dyDescent="0.3">
      <c r="P59"/>
      <c r="R59" s="15" t="s">
        <v>143</v>
      </c>
      <c r="S59" s="15" t="s">
        <v>145</v>
      </c>
      <c r="T59" s="15"/>
      <c r="U59" s="15"/>
      <c r="V59" s="15"/>
    </row>
    <row r="60" spans="1:22" x14ac:dyDescent="0.3">
      <c r="P60"/>
      <c r="R60" s="15" t="s">
        <v>144</v>
      </c>
      <c r="S60" s="15"/>
      <c r="T60" s="15"/>
      <c r="U60" s="15"/>
      <c r="V60" s="15"/>
    </row>
    <row r="61" spans="1:22" x14ac:dyDescent="0.3">
      <c r="P61"/>
      <c r="R61" s="15"/>
      <c r="S61" s="15"/>
      <c r="T61" s="15"/>
      <c r="U61" s="15"/>
      <c r="V61" s="15"/>
    </row>
    <row r="62" spans="1:22" x14ac:dyDescent="0.3">
      <c r="P62"/>
      <c r="R62" s="15"/>
      <c r="S62" s="15" t="s">
        <v>146</v>
      </c>
      <c r="T62" s="15"/>
      <c r="U62" s="15"/>
      <c r="V62" s="15"/>
    </row>
    <row r="63" spans="1:22" x14ac:dyDescent="0.3">
      <c r="P63"/>
    </row>
    <row r="64" spans="1:22" x14ac:dyDescent="0.3">
      <c r="P64"/>
    </row>
    <row r="65" spans="10:19" ht="31.2" x14ac:dyDescent="0.3">
      <c r="P65"/>
      <c r="R65" s="16" t="s">
        <v>3</v>
      </c>
      <c r="S65" s="16" t="s">
        <v>133</v>
      </c>
    </row>
    <row r="66" spans="10:19" x14ac:dyDescent="0.3">
      <c r="P66"/>
      <c r="R66" s="17" t="s">
        <v>95</v>
      </c>
      <c r="S66" s="17" t="s">
        <v>128</v>
      </c>
    </row>
    <row r="67" spans="10:19" x14ac:dyDescent="0.3">
      <c r="P67"/>
      <c r="R67" s="17" t="s">
        <v>99</v>
      </c>
      <c r="S67" s="17" t="s">
        <v>128</v>
      </c>
    </row>
    <row r="68" spans="10:19" x14ac:dyDescent="0.3">
      <c r="P68"/>
      <c r="R68" s="17" t="s">
        <v>105</v>
      </c>
      <c r="S68" s="17" t="s">
        <v>129</v>
      </c>
    </row>
    <row r="69" spans="10:19" x14ac:dyDescent="0.3">
      <c r="P69"/>
      <c r="R69" s="17" t="s">
        <v>117</v>
      </c>
      <c r="S69" s="17" t="s">
        <v>129</v>
      </c>
    </row>
    <row r="70" spans="10:19" x14ac:dyDescent="0.3">
      <c r="J70" s="1">
        <v>60000</v>
      </c>
      <c r="P70"/>
    </row>
    <row r="71" spans="10:19" x14ac:dyDescent="0.3">
      <c r="J71" s="1">
        <v>30000</v>
      </c>
      <c r="P71"/>
    </row>
    <row r="72" spans="10:19" ht="46.8" x14ac:dyDescent="0.3">
      <c r="P72"/>
      <c r="R72" s="18" t="s">
        <v>4</v>
      </c>
      <c r="S72" s="18" t="s">
        <v>3</v>
      </c>
    </row>
    <row r="73" spans="10:19" x14ac:dyDescent="0.3">
      <c r="P73"/>
      <c r="R73" s="19" t="s">
        <v>149</v>
      </c>
      <c r="S73" s="19"/>
    </row>
    <row r="74" spans="10:19" x14ac:dyDescent="0.3">
      <c r="P74"/>
      <c r="R74" s="19"/>
      <c r="S74" s="19" t="s">
        <v>106</v>
      </c>
    </row>
    <row r="75" spans="10:19" x14ac:dyDescent="0.3">
      <c r="P75"/>
      <c r="R75" s="19"/>
      <c r="S75" s="19" t="s">
        <v>107</v>
      </c>
    </row>
    <row r="76" spans="10:19" x14ac:dyDescent="0.3">
      <c r="P76"/>
      <c r="R76" s="19"/>
      <c r="S76" s="19" t="s">
        <v>114</v>
      </c>
    </row>
    <row r="77" spans="10:19" x14ac:dyDescent="0.3">
      <c r="P77"/>
    </row>
    <row r="78" spans="10:19" x14ac:dyDescent="0.3">
      <c r="P78" t="s">
        <v>147</v>
      </c>
      <c r="S78" s="21">
        <f>DSUM($A$1:$J$51,H1,$R$72:$S$76)</f>
        <v>1508868.9066175506</v>
      </c>
    </row>
    <row r="79" spans="10:19" x14ac:dyDescent="0.3">
      <c r="P79" t="s">
        <v>148</v>
      </c>
      <c r="S79" s="21">
        <f>DCOUNT($A$1:$J$51,A1,$R$72:$S$76)</f>
        <v>34</v>
      </c>
    </row>
    <row r="80" spans="10:19" x14ac:dyDescent="0.3">
      <c r="P80"/>
    </row>
    <row r="82" spans="16:20" x14ac:dyDescent="0.3">
      <c r="P82"/>
      <c r="R82" s="22" t="s">
        <v>3</v>
      </c>
    </row>
    <row r="83" spans="16:20" x14ac:dyDescent="0.3">
      <c r="P83"/>
      <c r="R83" s="22" t="s">
        <v>100</v>
      </c>
    </row>
    <row r="84" spans="16:20" x14ac:dyDescent="0.3">
      <c r="P84"/>
      <c r="R84" s="22" t="s">
        <v>113</v>
      </c>
    </row>
    <row r="85" spans="16:20" x14ac:dyDescent="0.3">
      <c r="P85"/>
      <c r="R85" s="22" t="s">
        <v>94</v>
      </c>
    </row>
    <row r="86" spans="16:20" x14ac:dyDescent="0.3">
      <c r="P86"/>
      <c r="R86" s="22" t="s">
        <v>103</v>
      </c>
    </row>
    <row r="87" spans="16:20" x14ac:dyDescent="0.3">
      <c r="P87"/>
    </row>
    <row r="88" spans="16:20" x14ac:dyDescent="0.3">
      <c r="P88" s="20" t="s">
        <v>150</v>
      </c>
      <c r="S88" s="2"/>
      <c r="T88" s="27">
        <f>DSUM(A1:K51,K1,R82:R86)</f>
        <v>81127.484951542428</v>
      </c>
    </row>
    <row r="89" spans="16:20" x14ac:dyDescent="0.3">
      <c r="P89"/>
      <c r="S89" s="2">
        <v>3.5</v>
      </c>
      <c r="T89" s="26">
        <f t="dataTable" ref="T89:T95" dt2D="0" dtr="0" r1="F53"/>
        <v>81127.484951542428</v>
      </c>
    </row>
    <row r="90" spans="16:20" x14ac:dyDescent="0.3">
      <c r="P90"/>
      <c r="S90" s="2">
        <v>3.55</v>
      </c>
      <c r="T90" s="26">
        <v>79984.844318422111</v>
      </c>
    </row>
    <row r="91" spans="16:20" x14ac:dyDescent="0.3">
      <c r="P91"/>
      <c r="S91" s="2">
        <v>3.6</v>
      </c>
      <c r="T91" s="26">
        <v>78873.943702888471</v>
      </c>
    </row>
    <row r="92" spans="16:20" x14ac:dyDescent="0.3">
      <c r="P92"/>
      <c r="S92" s="2">
        <v>3.65</v>
      </c>
      <c r="T92" s="26">
        <v>77793.47872065712</v>
      </c>
    </row>
    <row r="93" spans="16:20" x14ac:dyDescent="0.3">
      <c r="S93" s="2">
        <v>3.7</v>
      </c>
      <c r="T93" s="26">
        <v>76742.215494702279</v>
      </c>
    </row>
    <row r="94" spans="16:20" x14ac:dyDescent="0.3">
      <c r="S94" s="2">
        <v>3.75</v>
      </c>
      <c r="T94" s="26">
        <v>75718.985954772928</v>
      </c>
    </row>
    <row r="95" spans="16:20" x14ac:dyDescent="0.3">
      <c r="S95" s="2">
        <v>3.8</v>
      </c>
      <c r="T95" s="26">
        <v>74722.683507999594</v>
      </c>
    </row>
    <row r="98" spans="18:20" x14ac:dyDescent="0.3">
      <c r="S98" s="1" t="s">
        <v>153</v>
      </c>
      <c r="T98" s="1" t="s">
        <v>154</v>
      </c>
    </row>
    <row r="99" spans="18:20" x14ac:dyDescent="0.3">
      <c r="R99" s="9" t="s">
        <v>127</v>
      </c>
      <c r="S99" s="27">
        <f>SUMIF($G$2:$G$51,R99,$H$2:$H$51)</f>
        <v>685956.35284888628</v>
      </c>
      <c r="T99" s="17">
        <f>COUNTIF($G$2:$G$51,R99)</f>
        <v>13</v>
      </c>
    </row>
    <row r="100" spans="18:20" x14ac:dyDescent="0.3">
      <c r="R100" s="9" t="s">
        <v>127</v>
      </c>
      <c r="S100" s="27">
        <f t="shared" ref="S100:S104" si="15">SUMIF($G$2:$G$51,R100,$H$2:$H$51)</f>
        <v>685956.35284888628</v>
      </c>
      <c r="T100" s="17">
        <f t="shared" ref="T100:T104" si="16">COUNTIF($G$2:$G$51,R100)</f>
        <v>13</v>
      </c>
    </row>
    <row r="101" spans="18:20" x14ac:dyDescent="0.3">
      <c r="R101" s="9" t="s">
        <v>128</v>
      </c>
      <c r="S101" s="27">
        <f t="shared" si="15"/>
        <v>449620.46734923276</v>
      </c>
      <c r="T101" s="17">
        <f t="shared" si="16"/>
        <v>9</v>
      </c>
    </row>
    <row r="102" spans="18:20" x14ac:dyDescent="0.3">
      <c r="R102" s="9" t="s">
        <v>129</v>
      </c>
      <c r="S102" s="27">
        <f t="shared" si="15"/>
        <v>482293.04761471134</v>
      </c>
      <c r="T102" s="17">
        <f t="shared" si="16"/>
        <v>13</v>
      </c>
    </row>
    <row r="103" spans="18:20" x14ac:dyDescent="0.3">
      <c r="R103" s="9" t="s">
        <v>130</v>
      </c>
      <c r="S103" s="27">
        <f t="shared" si="15"/>
        <v>425800.04836910893</v>
      </c>
      <c r="T103" s="17">
        <f t="shared" si="16"/>
        <v>10</v>
      </c>
    </row>
    <row r="104" spans="18:20" x14ac:dyDescent="0.3">
      <c r="R104" s="9" t="s">
        <v>131</v>
      </c>
      <c r="S104" s="27">
        <f t="shared" si="15"/>
        <v>156330.08381805872</v>
      </c>
      <c r="T104" s="17">
        <f t="shared" si="16"/>
        <v>5</v>
      </c>
    </row>
    <row r="105" spans="18:20" x14ac:dyDescent="0.3">
      <c r="R105"/>
    </row>
    <row r="106" spans="18:20" x14ac:dyDescent="0.3">
      <c r="R106" s="28" t="s">
        <v>155</v>
      </c>
      <c r="S106" s="28"/>
      <c r="T106" s="28" t="str">
        <f>_xlfn.XLOOKUP(MIN(T99:T104),T99:T104,R99:R104)</f>
        <v>מיסוי</v>
      </c>
    </row>
    <row r="107" spans="18:20" x14ac:dyDescent="0.3">
      <c r="R107"/>
    </row>
    <row r="108" spans="18:20" x14ac:dyDescent="0.3">
      <c r="R108"/>
    </row>
    <row r="109" spans="18:20" x14ac:dyDescent="0.3">
      <c r="R109"/>
    </row>
  </sheetData>
  <conditionalFormatting sqref="H2:H51">
    <cfRule type="cellIs" dxfId="1" priority="1" operator="lessThan">
      <formula>$J$71</formula>
    </cfRule>
    <cfRule type="cellIs" dxfId="0" priority="2" operator="greaterThan">
      <formula>$J$70</formula>
    </cfRule>
  </conditionalFormatting>
  <pageMargins left="0.7" right="0.7" top="0.75" bottom="0.75" header="0.3" footer="0.3"/>
  <pageSetup paperSize="9" scale="9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26010-0DF4-4884-869C-2B139E54F5E9}">
  <dimension ref="D4:E9"/>
  <sheetViews>
    <sheetView rightToLeft="1" workbookViewId="0">
      <selection activeCell="D13" sqref="D13:E13"/>
    </sheetView>
  </sheetViews>
  <sheetFormatPr defaultRowHeight="13.8" x14ac:dyDescent="0.25"/>
  <cols>
    <col min="4" max="4" width="25.69921875" customWidth="1"/>
    <col min="5" max="5" width="15.69921875" customWidth="1"/>
  </cols>
  <sheetData>
    <row r="4" spans="4:5" x14ac:dyDescent="0.25">
      <c r="D4" s="5" t="s">
        <v>135</v>
      </c>
      <c r="E4" s="5" t="s">
        <v>136</v>
      </c>
    </row>
    <row r="5" spans="4:5" ht="15.6" x14ac:dyDescent="0.3">
      <c r="D5" s="2" t="s">
        <v>127</v>
      </c>
      <c r="E5" s="6">
        <v>21000</v>
      </c>
    </row>
    <row r="6" spans="4:5" ht="15.6" x14ac:dyDescent="0.3">
      <c r="D6" s="2" t="s">
        <v>128</v>
      </c>
      <c r="E6" s="6">
        <v>25000</v>
      </c>
    </row>
    <row r="7" spans="4:5" ht="15.6" x14ac:dyDescent="0.3">
      <c r="D7" s="2" t="s">
        <v>129</v>
      </c>
      <c r="E7" s="6">
        <v>15000</v>
      </c>
    </row>
    <row r="8" spans="4:5" ht="15.6" x14ac:dyDescent="0.3">
      <c r="D8" s="2" t="s">
        <v>130</v>
      </c>
      <c r="E8" s="6">
        <v>5000</v>
      </c>
    </row>
    <row r="9" spans="4:5" ht="15.6" x14ac:dyDescent="0.3">
      <c r="D9" s="2" t="s">
        <v>131</v>
      </c>
      <c r="E9" s="6">
        <v>7500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82722-8BA2-486C-AE2E-9F445ECD97BC}">
  <dimension ref="A1:C9"/>
  <sheetViews>
    <sheetView rightToLeft="1" workbookViewId="0">
      <selection activeCell="B7" sqref="B7"/>
    </sheetView>
  </sheetViews>
  <sheetFormatPr defaultRowHeight="13.8" x14ac:dyDescent="0.25"/>
  <cols>
    <col min="1" max="1" width="13.69921875" bestFit="1" customWidth="1"/>
    <col min="2" max="2" width="19.296875" bestFit="1" customWidth="1"/>
    <col min="3" max="3" width="12" bestFit="1" customWidth="1"/>
  </cols>
  <sheetData>
    <row r="1" spans="1:3" x14ac:dyDescent="0.25">
      <c r="A1" s="29" t="s">
        <v>3</v>
      </c>
      <c r="B1" s="30" t="s">
        <v>160</v>
      </c>
    </row>
    <row r="3" spans="1:3" x14ac:dyDescent="0.25">
      <c r="A3" s="29" t="s">
        <v>156</v>
      </c>
      <c r="B3" t="s">
        <v>158</v>
      </c>
      <c r="C3" t="s">
        <v>159</v>
      </c>
    </row>
    <row r="4" spans="1:3" x14ac:dyDescent="0.25">
      <c r="A4" s="30" t="s">
        <v>128</v>
      </c>
      <c r="B4" s="31">
        <v>420214.4</v>
      </c>
      <c r="C4">
        <v>9</v>
      </c>
    </row>
    <row r="5" spans="1:3" x14ac:dyDescent="0.25">
      <c r="A5" s="30" t="s">
        <v>127</v>
      </c>
      <c r="B5" s="31">
        <v>639964.79999999993</v>
      </c>
      <c r="C5">
        <v>13</v>
      </c>
    </row>
    <row r="6" spans="1:3" x14ac:dyDescent="0.25">
      <c r="A6" s="30" t="s">
        <v>130</v>
      </c>
      <c r="B6" s="31">
        <v>399735.69999999995</v>
      </c>
      <c r="C6">
        <v>10</v>
      </c>
    </row>
    <row r="7" spans="1:3" x14ac:dyDescent="0.25">
      <c r="A7" s="30" t="s">
        <v>129</v>
      </c>
      <c r="B7" s="31">
        <v>454816.65</v>
      </c>
      <c r="C7">
        <v>13</v>
      </c>
    </row>
    <row r="8" spans="1:3" x14ac:dyDescent="0.25">
      <c r="A8" s="30" t="s">
        <v>131</v>
      </c>
      <c r="B8" s="31">
        <v>148317.75</v>
      </c>
      <c r="C8">
        <v>5</v>
      </c>
    </row>
    <row r="9" spans="1:3" x14ac:dyDescent="0.25">
      <c r="A9" s="30" t="s">
        <v>157</v>
      </c>
      <c r="B9" s="31">
        <v>2063049.3</v>
      </c>
      <c r="C9">
        <v>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7349D-0F01-4A17-BEBE-EF9A651AC9EC}">
  <dimension ref="A3:N47"/>
  <sheetViews>
    <sheetView rightToLeft="1" workbookViewId="0">
      <selection activeCell="C43" sqref="C43"/>
    </sheetView>
  </sheetViews>
  <sheetFormatPr defaultRowHeight="13.8" x14ac:dyDescent="0.25"/>
  <cols>
    <col min="1" max="1" width="12.8984375" bestFit="1" customWidth="1"/>
    <col min="2" max="2" width="22.09765625" bestFit="1" customWidth="1"/>
    <col min="3" max="3" width="26.296875" bestFit="1" customWidth="1"/>
  </cols>
  <sheetData>
    <row r="3" spans="1:14" x14ac:dyDescent="0.25">
      <c r="A3" s="29" t="s">
        <v>156</v>
      </c>
      <c r="B3" t="s">
        <v>161</v>
      </c>
      <c r="C3" t="s">
        <v>162</v>
      </c>
    </row>
    <row r="4" spans="1:14" x14ac:dyDescent="0.25">
      <c r="A4" s="30" t="s">
        <v>79</v>
      </c>
      <c r="B4" s="31">
        <v>49560.4</v>
      </c>
      <c r="C4">
        <v>1</v>
      </c>
    </row>
    <row r="5" spans="1:14" x14ac:dyDescent="0.25">
      <c r="A5" s="30" t="s">
        <v>68</v>
      </c>
      <c r="B5" s="31">
        <v>29508.6</v>
      </c>
      <c r="C5">
        <v>1</v>
      </c>
    </row>
    <row r="6" spans="1:14" x14ac:dyDescent="0.25">
      <c r="A6" s="30" t="s">
        <v>53</v>
      </c>
      <c r="B6" s="31">
        <v>17172.400000000001</v>
      </c>
      <c r="C6">
        <v>1</v>
      </c>
      <c r="F6" s="12" t="s">
        <v>163</v>
      </c>
      <c r="N6" s="32" t="str">
        <f>_xlfn.XLOOKUP(MAX(B4:B46),B4:B46,A4:A46)</f>
        <v>כהן</v>
      </c>
    </row>
    <row r="7" spans="1:14" x14ac:dyDescent="0.25">
      <c r="A7" s="30" t="s">
        <v>63</v>
      </c>
      <c r="B7" s="31">
        <v>15698.5</v>
      </c>
      <c r="C7">
        <v>1</v>
      </c>
    </row>
    <row r="8" spans="1:14" x14ac:dyDescent="0.25">
      <c r="A8" s="30" t="s">
        <v>57</v>
      </c>
      <c r="B8" s="31">
        <v>57446.2</v>
      </c>
      <c r="C8">
        <v>1</v>
      </c>
    </row>
    <row r="9" spans="1:14" x14ac:dyDescent="0.25">
      <c r="A9" s="30" t="s">
        <v>69</v>
      </c>
      <c r="B9" s="31">
        <v>29981.8</v>
      </c>
      <c r="C9">
        <v>1</v>
      </c>
      <c r="F9" s="12" t="s">
        <v>164</v>
      </c>
      <c r="N9" s="32" t="str">
        <f>_xlfn.XLOOKUP(MAX(C4:C46),C4:C46,A4:A46)</f>
        <v>כהן</v>
      </c>
    </row>
    <row r="10" spans="1:14" x14ac:dyDescent="0.25">
      <c r="A10" s="30" t="s">
        <v>86</v>
      </c>
      <c r="B10" s="31">
        <v>52856.800000000003</v>
      </c>
      <c r="C10">
        <v>1</v>
      </c>
    </row>
    <row r="11" spans="1:14" x14ac:dyDescent="0.25">
      <c r="A11" s="30" t="s">
        <v>67</v>
      </c>
      <c r="B11" s="31">
        <v>65638.600000000006</v>
      </c>
      <c r="C11">
        <v>1</v>
      </c>
    </row>
    <row r="12" spans="1:14" x14ac:dyDescent="0.25">
      <c r="A12" s="30" t="s">
        <v>71</v>
      </c>
      <c r="B12" s="31">
        <v>64433.2</v>
      </c>
      <c r="C12">
        <v>1</v>
      </c>
    </row>
    <row r="13" spans="1:14" x14ac:dyDescent="0.25">
      <c r="A13" s="30" t="s">
        <v>62</v>
      </c>
      <c r="B13" s="31">
        <v>62274.399999999994</v>
      </c>
      <c r="C13">
        <v>1</v>
      </c>
    </row>
    <row r="14" spans="1:14" x14ac:dyDescent="0.25">
      <c r="A14" s="30" t="s">
        <v>85</v>
      </c>
      <c r="B14" s="31">
        <v>29455.4</v>
      </c>
      <c r="C14">
        <v>1</v>
      </c>
    </row>
    <row r="15" spans="1:14" x14ac:dyDescent="0.25">
      <c r="A15" s="30" t="s">
        <v>82</v>
      </c>
      <c r="B15" s="31">
        <v>57916</v>
      </c>
      <c r="C15">
        <v>1</v>
      </c>
    </row>
    <row r="16" spans="1:14" x14ac:dyDescent="0.25">
      <c r="A16" s="30" t="s">
        <v>64</v>
      </c>
      <c r="B16" s="31">
        <v>55962.400000000001</v>
      </c>
      <c r="C16">
        <v>1</v>
      </c>
    </row>
    <row r="17" spans="1:3" x14ac:dyDescent="0.25">
      <c r="A17" s="30" t="s">
        <v>59</v>
      </c>
      <c r="B17" s="31">
        <v>33149.25</v>
      </c>
      <c r="C17">
        <v>1</v>
      </c>
    </row>
    <row r="18" spans="1:3" x14ac:dyDescent="0.25">
      <c r="A18" s="30" t="s">
        <v>74</v>
      </c>
      <c r="B18" s="31">
        <v>51907</v>
      </c>
      <c r="C18">
        <v>1</v>
      </c>
    </row>
    <row r="19" spans="1:3" x14ac:dyDescent="0.25">
      <c r="A19" s="30" t="s">
        <v>80</v>
      </c>
      <c r="B19" s="31">
        <v>23128.75</v>
      </c>
      <c r="C19">
        <v>1</v>
      </c>
    </row>
    <row r="20" spans="1:3" x14ac:dyDescent="0.25">
      <c r="A20" s="30" t="s">
        <v>75</v>
      </c>
      <c r="B20" s="31">
        <v>30120.25</v>
      </c>
      <c r="C20">
        <v>1</v>
      </c>
    </row>
    <row r="21" spans="1:3" x14ac:dyDescent="0.25">
      <c r="A21" s="30" t="s">
        <v>60</v>
      </c>
      <c r="B21" s="31">
        <v>67668.049999999988</v>
      </c>
      <c r="C21">
        <v>2</v>
      </c>
    </row>
    <row r="22" spans="1:3" x14ac:dyDescent="0.25">
      <c r="A22" s="30" t="s">
        <v>88</v>
      </c>
      <c r="B22" s="31">
        <v>51049</v>
      </c>
      <c r="C22">
        <v>1</v>
      </c>
    </row>
    <row r="23" spans="1:3" x14ac:dyDescent="0.25">
      <c r="A23" s="30" t="s">
        <v>51</v>
      </c>
      <c r="B23" s="31">
        <v>30968.5</v>
      </c>
      <c r="C23">
        <v>1</v>
      </c>
    </row>
    <row r="24" spans="1:3" x14ac:dyDescent="0.25">
      <c r="A24" s="30" t="s">
        <v>52</v>
      </c>
      <c r="B24" s="31">
        <v>101199.79999999999</v>
      </c>
      <c r="C24">
        <v>2</v>
      </c>
    </row>
    <row r="25" spans="1:3" x14ac:dyDescent="0.25">
      <c r="A25" s="30" t="s">
        <v>77</v>
      </c>
      <c r="B25" s="31">
        <v>29197.1</v>
      </c>
      <c r="C25">
        <v>1</v>
      </c>
    </row>
    <row r="26" spans="1:3" x14ac:dyDescent="0.25">
      <c r="A26" s="30" t="s">
        <v>49</v>
      </c>
      <c r="B26" s="31">
        <v>167161.59999999998</v>
      </c>
      <c r="C26">
        <v>4</v>
      </c>
    </row>
    <row r="27" spans="1:3" x14ac:dyDescent="0.25">
      <c r="A27" s="30" t="s">
        <v>48</v>
      </c>
      <c r="B27" s="31">
        <v>126454.29999999999</v>
      </c>
      <c r="C27">
        <v>3</v>
      </c>
    </row>
    <row r="28" spans="1:3" x14ac:dyDescent="0.25">
      <c r="A28" s="30" t="s">
        <v>81</v>
      </c>
      <c r="B28" s="31">
        <v>52042.6</v>
      </c>
      <c r="C28">
        <v>1</v>
      </c>
    </row>
    <row r="29" spans="1:3" x14ac:dyDescent="0.25">
      <c r="A29" s="30" t="s">
        <v>54</v>
      </c>
      <c r="B29" s="31">
        <v>17445.25</v>
      </c>
      <c r="C29">
        <v>1</v>
      </c>
    </row>
    <row r="30" spans="1:3" x14ac:dyDescent="0.25">
      <c r="A30" s="30" t="s">
        <v>83</v>
      </c>
      <c r="B30" s="31">
        <v>48875.199999999997</v>
      </c>
      <c r="C30">
        <v>1</v>
      </c>
    </row>
    <row r="31" spans="1:3" x14ac:dyDescent="0.25">
      <c r="A31" s="30" t="s">
        <v>78</v>
      </c>
      <c r="B31" s="31">
        <v>16876.599999999999</v>
      </c>
      <c r="C31">
        <v>1</v>
      </c>
    </row>
    <row r="32" spans="1:3" x14ac:dyDescent="0.25">
      <c r="A32" s="30" t="s">
        <v>90</v>
      </c>
      <c r="B32" s="31">
        <v>24315.25</v>
      </c>
      <c r="C32">
        <v>1</v>
      </c>
    </row>
    <row r="33" spans="1:3" x14ac:dyDescent="0.25">
      <c r="A33" s="30" t="s">
        <v>87</v>
      </c>
      <c r="B33" s="31">
        <v>57191.8</v>
      </c>
      <c r="C33">
        <v>1</v>
      </c>
    </row>
    <row r="34" spans="1:3" x14ac:dyDescent="0.25">
      <c r="A34" s="30" t="s">
        <v>84</v>
      </c>
      <c r="B34" s="31">
        <v>66803.199999999997</v>
      </c>
      <c r="C34">
        <v>1</v>
      </c>
    </row>
    <row r="35" spans="1:3" x14ac:dyDescent="0.25">
      <c r="A35" s="30" t="s">
        <v>61</v>
      </c>
      <c r="B35" s="31">
        <v>44698</v>
      </c>
      <c r="C35">
        <v>1</v>
      </c>
    </row>
    <row r="36" spans="1:3" x14ac:dyDescent="0.25">
      <c r="A36" s="30" t="s">
        <v>66</v>
      </c>
      <c r="B36" s="31">
        <v>33493.599999999999</v>
      </c>
      <c r="C36">
        <v>1</v>
      </c>
    </row>
    <row r="37" spans="1:3" x14ac:dyDescent="0.25">
      <c r="A37" s="30" t="s">
        <v>89</v>
      </c>
      <c r="B37" s="31">
        <v>46334.2</v>
      </c>
      <c r="C37">
        <v>1</v>
      </c>
    </row>
    <row r="38" spans="1:3" x14ac:dyDescent="0.25">
      <c r="A38" s="30" t="s">
        <v>65</v>
      </c>
      <c r="B38" s="31">
        <v>37054</v>
      </c>
      <c r="C38">
        <v>1</v>
      </c>
    </row>
    <row r="39" spans="1:3" x14ac:dyDescent="0.25">
      <c r="A39" s="30" t="s">
        <v>50</v>
      </c>
      <c r="B39" s="31">
        <v>37448.800000000003</v>
      </c>
      <c r="C39">
        <v>1</v>
      </c>
    </row>
    <row r="40" spans="1:3" x14ac:dyDescent="0.25">
      <c r="A40" s="30" t="s">
        <v>58</v>
      </c>
      <c r="B40" s="31">
        <v>36521.800000000003</v>
      </c>
      <c r="C40">
        <v>1</v>
      </c>
    </row>
    <row r="41" spans="1:3" x14ac:dyDescent="0.25">
      <c r="A41" s="30" t="s">
        <v>70</v>
      </c>
      <c r="B41" s="31">
        <v>31599</v>
      </c>
      <c r="C41">
        <v>1</v>
      </c>
    </row>
    <row r="42" spans="1:3" x14ac:dyDescent="0.25">
      <c r="A42" s="30" t="s">
        <v>76</v>
      </c>
      <c r="B42" s="31">
        <v>29372.1</v>
      </c>
      <c r="C42">
        <v>1</v>
      </c>
    </row>
    <row r="43" spans="1:3" x14ac:dyDescent="0.25">
      <c r="A43" s="30" t="s">
        <v>56</v>
      </c>
      <c r="B43" s="31">
        <v>69028</v>
      </c>
      <c r="C43">
        <v>1</v>
      </c>
    </row>
    <row r="44" spans="1:3" x14ac:dyDescent="0.25">
      <c r="A44" s="30" t="s">
        <v>55</v>
      </c>
      <c r="B44" s="31">
        <v>45274</v>
      </c>
      <c r="C44">
        <v>1</v>
      </c>
    </row>
    <row r="45" spans="1:3" x14ac:dyDescent="0.25">
      <c r="A45" s="30" t="s">
        <v>73</v>
      </c>
      <c r="B45" s="31">
        <v>32129.4</v>
      </c>
      <c r="C45">
        <v>1</v>
      </c>
    </row>
    <row r="46" spans="1:3" x14ac:dyDescent="0.25">
      <c r="A46" s="30" t="s">
        <v>72</v>
      </c>
      <c r="B46" s="31">
        <v>36638.199999999997</v>
      </c>
      <c r="C46">
        <v>1</v>
      </c>
    </row>
    <row r="47" spans="1:3" x14ac:dyDescent="0.25">
      <c r="A47" s="30" t="s">
        <v>157</v>
      </c>
      <c r="B47" s="31">
        <v>2063049.3</v>
      </c>
      <c r="C47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גליונות עבודה</vt:lpstr>
      </vt:variant>
      <vt:variant>
        <vt:i4>6</vt:i4>
      </vt:variant>
      <vt:variant>
        <vt:lpstr>תרשימים</vt:lpstr>
      </vt:variant>
      <vt:variant>
        <vt:i4>1</vt:i4>
      </vt:variant>
      <vt:variant>
        <vt:lpstr>טווחים בעלי שם</vt:lpstr>
      </vt:variant>
      <vt:variant>
        <vt:i4>3</vt:i4>
      </vt:variant>
    </vt:vector>
  </HeadingPairs>
  <TitlesOfParts>
    <vt:vector size="10" baseType="lpstr">
      <vt:lpstr>לקוחות</vt:lpstr>
      <vt:lpstr>דוח  נישומים</vt:lpstr>
      <vt:lpstr>עידוד  הצמיחה</vt:lpstr>
      <vt:lpstr>נתוני עזר</vt:lpstr>
      <vt:lpstr>נתוח מקורות הכנסה</vt:lpstr>
      <vt:lpstr>נתוח לקוחות</vt:lpstr>
      <vt:lpstr>התפלגות הכנסות</vt:lpstr>
      <vt:lpstr>'דוח  נישומים'!Extract</vt:lpstr>
      <vt:lpstr>לקוחות!WPrint_Area_W</vt:lpstr>
      <vt:lpstr>'עידוד  הצמיחה'!WPrint_Area_W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roy idan</cp:lastModifiedBy>
  <cp:lastPrinted>2025-01-15T13:48:05Z</cp:lastPrinted>
  <dcterms:created xsi:type="dcterms:W3CDTF">2024-09-16T07:12:04Z</dcterms:created>
  <dcterms:modified xsi:type="dcterms:W3CDTF">2026-02-05T12:11:53Z</dcterms:modified>
</cp:coreProperties>
</file>