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משתמש\Desktop\לימודיות 2026\סמסטר א\לימודיה פרטית מנעס אקסל ביוזמתי\"/>
    </mc:Choice>
  </mc:AlternateContent>
  <xr:revisionPtr revIDLastSave="0" documentId="13_ncr:1_{B1CE97F7-17AE-4D1E-B8B3-F8CF60116C5A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averageIf" sheetId="2" r:id="rId1"/>
    <sheet name="CountIf" sheetId="11" r:id="rId2"/>
    <sheet name="הקפאה+IF" sheetId="3" r:id="rId3"/>
    <sheet name="frequency" sheetId="10" r:id="rId4"/>
    <sheet name="עיצוב מותנה" sheetId="13" r:id="rId5"/>
    <sheet name="לקוחות בנק" sheetId="4" r:id="rId6"/>
    <sheet name="IF בתוך IF" sheetId="9" r:id="rId7"/>
    <sheet name="סינון מתקדם" sheetId="5" r:id="rId8"/>
    <sheet name="סינון מתקדם 2  " sheetId="12" r:id="rId9"/>
    <sheet name="דוח לקוחות (מסונן)" sheetId="6" r:id="rId10"/>
    <sheet name="DMAX" sheetId="7" r:id="rId11"/>
  </sheets>
  <externalReferences>
    <externalReference r:id="rId12"/>
    <externalReference r:id="rId13"/>
    <externalReference r:id="rId14"/>
    <externalReference r:id="rId15"/>
    <externalReference r:id="rId16"/>
  </externalReferences>
  <definedNames>
    <definedName name="_xlnm._FilterDatabase" localSheetId="0" hidden="1">averageIf!$A$1:$R$60</definedName>
    <definedName name="_xlnm._FilterDatabase" localSheetId="10" hidden="1">DMAX!$A$1:$J$36</definedName>
    <definedName name="_xlnm._FilterDatabase" localSheetId="5" hidden="1">'לקוחות בנק'!$A$1:$J$36</definedName>
    <definedName name="_xlnm._FilterDatabase" localSheetId="7" hidden="1">'סינון מתקדם'!$A$1:$R$52</definedName>
    <definedName name="_xlnm._FilterDatabase" localSheetId="8" hidden="1">'סינון מתקדם 2  '!$A$1:$N$28</definedName>
    <definedName name="_xlnm._FilterDatabase" localSheetId="4" hidden="1">'עיצוב מותנה'!$A$1:$J$51</definedName>
    <definedName name="_xlnm.Criteria" localSheetId="0">averageIf!$U$25</definedName>
    <definedName name="_xlnm.Criteria" localSheetId="4">'עיצוב מותנה'!#REF!</definedName>
    <definedName name="_xlnm.Extract" localSheetId="0">averageIf!$U$25</definedName>
    <definedName name="_xlnm.Extract" localSheetId="9">'דוח לקוחות (מסונן)'!$A$1:$C$1</definedName>
    <definedName name="_xlnm.Extract" localSheetId="4">'עיצוב מותנה'!#REF!</definedName>
    <definedName name="_xlnm.Print_Area" localSheetId="4">'עיצוב מותנה'!$A$1:$G$14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7" i="5" l="1"/>
  <c r="R58" i="13"/>
  <c r="R57" i="13"/>
  <c r="R56" i="13"/>
  <c r="R55" i="13"/>
  <c r="R54" i="13"/>
  <c r="R53" i="13"/>
  <c r="R60" i="13" s="1"/>
  <c r="I51" i="13"/>
  <c r="J51" i="13" s="1"/>
  <c r="I50" i="13"/>
  <c r="J50" i="13" s="1"/>
  <c r="I49" i="13"/>
  <c r="J49" i="13" s="1"/>
  <c r="I48" i="13"/>
  <c r="J48" i="13" s="1"/>
  <c r="I47" i="13"/>
  <c r="J47" i="13" s="1"/>
  <c r="I46" i="13"/>
  <c r="J46" i="13" s="1"/>
  <c r="I45" i="13"/>
  <c r="J45" i="13" s="1"/>
  <c r="I44" i="13"/>
  <c r="J44" i="13" s="1"/>
  <c r="I43" i="13"/>
  <c r="J43" i="13" s="1"/>
  <c r="J42" i="13"/>
  <c r="I42" i="13"/>
  <c r="J41" i="13"/>
  <c r="I41" i="13"/>
  <c r="J40" i="13"/>
  <c r="I40" i="13"/>
  <c r="J39" i="13"/>
  <c r="I39" i="13"/>
  <c r="J38" i="13"/>
  <c r="I38" i="13"/>
  <c r="J37" i="13"/>
  <c r="I37" i="13"/>
  <c r="J36" i="13"/>
  <c r="I36" i="13"/>
  <c r="J35" i="13"/>
  <c r="I35" i="13"/>
  <c r="J34" i="13"/>
  <c r="I34" i="13"/>
  <c r="Q33" i="13"/>
  <c r="I33" i="13"/>
  <c r="J33" i="13" s="1"/>
  <c r="I32" i="13"/>
  <c r="J32" i="13" s="1"/>
  <c r="J31" i="13"/>
  <c r="I31" i="13"/>
  <c r="I30" i="13"/>
  <c r="J30" i="13" s="1"/>
  <c r="J29" i="13"/>
  <c r="I29" i="13"/>
  <c r="I28" i="13"/>
  <c r="J28" i="13" s="1"/>
  <c r="J27" i="13"/>
  <c r="I27" i="13"/>
  <c r="I26" i="13"/>
  <c r="J26" i="13" s="1"/>
  <c r="J25" i="13"/>
  <c r="I25" i="13"/>
  <c r="I24" i="13"/>
  <c r="J24" i="13" s="1"/>
  <c r="J23" i="13"/>
  <c r="I23" i="13"/>
  <c r="I22" i="13"/>
  <c r="J22" i="13" s="1"/>
  <c r="J21" i="13"/>
  <c r="I21" i="13"/>
  <c r="I20" i="13"/>
  <c r="J20" i="13" s="1"/>
  <c r="J19" i="13"/>
  <c r="I19" i="13"/>
  <c r="I18" i="13"/>
  <c r="J18" i="13" s="1"/>
  <c r="J17" i="13"/>
  <c r="I17" i="13"/>
  <c r="I16" i="13"/>
  <c r="J16" i="13" s="1"/>
  <c r="J15" i="13"/>
  <c r="I15" i="13"/>
  <c r="I14" i="13"/>
  <c r="J14" i="13" s="1"/>
  <c r="J13" i="13"/>
  <c r="I13" i="13"/>
  <c r="I12" i="13"/>
  <c r="J12" i="13" s="1"/>
  <c r="I11" i="13"/>
  <c r="J11" i="13" s="1"/>
  <c r="J10" i="13"/>
  <c r="I10" i="13"/>
  <c r="J9" i="13"/>
  <c r="I9" i="13"/>
  <c r="J8" i="13"/>
  <c r="I8" i="13"/>
  <c r="I7" i="13"/>
  <c r="J7" i="13" s="1"/>
  <c r="J6" i="13"/>
  <c r="I6" i="13"/>
  <c r="I5" i="13"/>
  <c r="J5" i="13" s="1"/>
  <c r="Q4" i="13"/>
  <c r="Q5" i="13" s="1"/>
  <c r="Q6" i="13" s="1"/>
  <c r="I4" i="13"/>
  <c r="J4" i="13" s="1"/>
  <c r="J3" i="13"/>
  <c r="I3" i="13"/>
  <c r="I2" i="13"/>
  <c r="J2" i="13" s="1"/>
  <c r="H7" i="13" l="1"/>
  <c r="H35" i="13"/>
  <c r="K35" i="13" s="1"/>
  <c r="H19" i="13"/>
  <c r="K19" i="13" s="1"/>
  <c r="Q7" i="13"/>
  <c r="Q8" i="13" s="1"/>
  <c r="H9" i="13"/>
  <c r="K9" i="13" s="1"/>
  <c r="H51" i="13" l="1"/>
  <c r="K51" i="13" s="1"/>
  <c r="H37" i="13"/>
  <c r="K37" i="13" s="1"/>
  <c r="Q9" i="13"/>
  <c r="K7" i="13"/>
  <c r="H43" i="13" l="1"/>
  <c r="K43" i="13" s="1"/>
  <c r="H33" i="13"/>
  <c r="K33" i="13" s="1"/>
  <c r="H25" i="13"/>
  <c r="K25" i="13" s="1"/>
  <c r="H26" i="13"/>
  <c r="H38" i="13"/>
  <c r="K38" i="13" s="1"/>
  <c r="H34" i="13"/>
  <c r="K34" i="13" s="1"/>
  <c r="Q10" i="13"/>
  <c r="Q11" i="13" l="1"/>
  <c r="H32" i="13"/>
  <c r="K32" i="13" s="1"/>
  <c r="H5" i="13"/>
  <c r="H27" i="13"/>
  <c r="K27" i="13" s="1"/>
  <c r="H15" i="13"/>
  <c r="K15" i="13" s="1"/>
  <c r="H30" i="13"/>
  <c r="K30" i="13" s="1"/>
  <c r="H14" i="13"/>
  <c r="K14" i="13" s="1"/>
  <c r="K26" i="13"/>
  <c r="H49" i="13" l="1"/>
  <c r="K49" i="13" s="1"/>
  <c r="H47" i="13"/>
  <c r="K47" i="13" s="1"/>
  <c r="H45" i="13"/>
  <c r="K45" i="13" s="1"/>
  <c r="H41" i="13"/>
  <c r="H39" i="13"/>
  <c r="K39" i="13" s="1"/>
  <c r="H10" i="13"/>
  <c r="H16" i="13"/>
  <c r="K16" i="13" s="1"/>
  <c r="H2" i="13"/>
  <c r="H31" i="13"/>
  <c r="K31" i="13" s="1"/>
  <c r="H23" i="13"/>
  <c r="K23" i="13" s="1"/>
  <c r="H21" i="13"/>
  <c r="K21" i="13" s="1"/>
  <c r="H13" i="13"/>
  <c r="K13" i="13" s="1"/>
  <c r="H8" i="13"/>
  <c r="K8" i="13" s="1"/>
  <c r="H29" i="13"/>
  <c r="K29" i="13" s="1"/>
  <c r="H17" i="13"/>
  <c r="K17" i="13" s="1"/>
  <c r="H3" i="13"/>
  <c r="H28" i="13"/>
  <c r="K28" i="13" s="1"/>
  <c r="H22" i="13"/>
  <c r="K22" i="13" s="1"/>
  <c r="H18" i="13"/>
  <c r="K18" i="13" s="1"/>
  <c r="H12" i="13"/>
  <c r="K12" i="13" s="1"/>
  <c r="H50" i="13"/>
  <c r="K50" i="13" s="1"/>
  <c r="H48" i="13"/>
  <c r="K48" i="13" s="1"/>
  <c r="H46" i="13"/>
  <c r="K46" i="13" s="1"/>
  <c r="H44" i="13"/>
  <c r="K44" i="13" s="1"/>
  <c r="H11" i="13"/>
  <c r="K11" i="13" s="1"/>
  <c r="H20" i="13"/>
  <c r="K20" i="13" s="1"/>
  <c r="H4" i="13"/>
  <c r="H42" i="13"/>
  <c r="K42" i="13" s="1"/>
  <c r="H40" i="13"/>
  <c r="K40" i="13" s="1"/>
  <c r="H36" i="13"/>
  <c r="K36" i="13" s="1"/>
  <c r="H6" i="13"/>
  <c r="K6" i="13" s="1"/>
  <c r="H24" i="13"/>
  <c r="K24" i="13" s="1"/>
  <c r="K5" i="13"/>
  <c r="R42" i="13" s="1"/>
  <c r="Q56" i="13"/>
  <c r="Q54" i="13" l="1"/>
  <c r="Q53" i="13"/>
  <c r="K2" i="13"/>
  <c r="K41" i="13"/>
  <c r="Q58" i="13"/>
  <c r="Q55" i="13"/>
  <c r="K4" i="13"/>
  <c r="K3" i="13"/>
  <c r="Q32" i="13"/>
  <c r="K10" i="13"/>
  <c r="Q57" i="13"/>
  <c r="K28" i="12" l="1"/>
  <c r="M28" i="12" s="1"/>
  <c r="N28" i="12" s="1"/>
  <c r="J28" i="12"/>
  <c r="M27" i="12"/>
  <c r="N27" i="12" s="1"/>
  <c r="L27" i="12"/>
  <c r="K27" i="12"/>
  <c r="J27" i="12"/>
  <c r="K26" i="12"/>
  <c r="M26" i="12" s="1"/>
  <c r="N26" i="12" s="1"/>
  <c r="J26" i="12"/>
  <c r="L25" i="12"/>
  <c r="K25" i="12"/>
  <c r="M25" i="12" s="1"/>
  <c r="N25" i="12" s="1"/>
  <c r="J25" i="12"/>
  <c r="K24" i="12"/>
  <c r="L24" i="12" s="1"/>
  <c r="J24" i="12"/>
  <c r="N23" i="12"/>
  <c r="M23" i="12"/>
  <c r="L23" i="12"/>
  <c r="K23" i="12"/>
  <c r="J23" i="12"/>
  <c r="M22" i="12"/>
  <c r="N22" i="12" s="1"/>
  <c r="K22" i="12"/>
  <c r="L22" i="12" s="1"/>
  <c r="J22" i="12"/>
  <c r="K21" i="12"/>
  <c r="M21" i="12" s="1"/>
  <c r="N21" i="12" s="1"/>
  <c r="J21" i="12"/>
  <c r="K20" i="12"/>
  <c r="M20" i="12" s="1"/>
  <c r="N20" i="12" s="1"/>
  <c r="J20" i="12"/>
  <c r="M19" i="12"/>
  <c r="N19" i="12" s="1"/>
  <c r="L19" i="12"/>
  <c r="K19" i="12"/>
  <c r="J19" i="12"/>
  <c r="K18" i="12"/>
  <c r="M18" i="12" s="1"/>
  <c r="N18" i="12" s="1"/>
  <c r="J18" i="12"/>
  <c r="L17" i="12"/>
  <c r="K17" i="12"/>
  <c r="M17" i="12" s="1"/>
  <c r="N17" i="12" s="1"/>
  <c r="J17" i="12"/>
  <c r="K16" i="12"/>
  <c r="L16" i="12" s="1"/>
  <c r="J16" i="12"/>
  <c r="N15" i="12"/>
  <c r="M15" i="12"/>
  <c r="L15" i="12"/>
  <c r="K15" i="12"/>
  <c r="J15" i="12"/>
  <c r="M14" i="12"/>
  <c r="N14" i="12" s="1"/>
  <c r="K14" i="12"/>
  <c r="L14" i="12" s="1"/>
  <c r="J14" i="12"/>
  <c r="K13" i="12"/>
  <c r="M13" i="12" s="1"/>
  <c r="N13" i="12" s="1"/>
  <c r="J13" i="12"/>
  <c r="K12" i="12"/>
  <c r="M12" i="12" s="1"/>
  <c r="N12" i="12" s="1"/>
  <c r="J12" i="12"/>
  <c r="M11" i="12"/>
  <c r="N11" i="12" s="1"/>
  <c r="L11" i="12"/>
  <c r="K11" i="12"/>
  <c r="J11" i="12"/>
  <c r="K10" i="12"/>
  <c r="M10" i="12" s="1"/>
  <c r="N10" i="12" s="1"/>
  <c r="J10" i="12"/>
  <c r="L9" i="12"/>
  <c r="K9" i="12"/>
  <c r="M9" i="12" s="1"/>
  <c r="N9" i="12" s="1"/>
  <c r="J9" i="12"/>
  <c r="K8" i="12"/>
  <c r="L8" i="12" s="1"/>
  <c r="J8" i="12"/>
  <c r="N7" i="12"/>
  <c r="M7" i="12"/>
  <c r="L7" i="12"/>
  <c r="K7" i="12"/>
  <c r="J7" i="12"/>
  <c r="M6" i="12"/>
  <c r="N6" i="12" s="1"/>
  <c r="K6" i="12"/>
  <c r="L6" i="12" s="1"/>
  <c r="J6" i="12"/>
  <c r="K5" i="12"/>
  <c r="M5" i="12" s="1"/>
  <c r="N5" i="12" s="1"/>
  <c r="J5" i="12"/>
  <c r="K4" i="12"/>
  <c r="M4" i="12" s="1"/>
  <c r="N4" i="12" s="1"/>
  <c r="J4" i="12"/>
  <c r="M3" i="12"/>
  <c r="N3" i="12" s="1"/>
  <c r="L3" i="12"/>
  <c r="K3" i="12"/>
  <c r="J3" i="12"/>
  <c r="K2" i="12"/>
  <c r="M2" i="12" s="1"/>
  <c r="N2" i="12" s="1"/>
  <c r="J2" i="12"/>
  <c r="N26" i="10"/>
  <c r="M26" i="10"/>
  <c r="L26" i="10"/>
  <c r="K26" i="10"/>
  <c r="J26" i="10"/>
  <c r="I26" i="10"/>
  <c r="N25" i="10"/>
  <c r="M25" i="10"/>
  <c r="L25" i="10"/>
  <c r="K25" i="10"/>
  <c r="J25" i="10"/>
  <c r="I25" i="10"/>
  <c r="N24" i="10"/>
  <c r="M24" i="10"/>
  <c r="L24" i="10"/>
  <c r="K24" i="10"/>
  <c r="J24" i="10"/>
  <c r="I24" i="10"/>
  <c r="N23" i="10"/>
  <c r="M23" i="10"/>
  <c r="L23" i="10"/>
  <c r="K23" i="10"/>
  <c r="J23" i="10"/>
  <c r="I23" i="10"/>
  <c r="N22" i="10"/>
  <c r="M22" i="10"/>
  <c r="L22" i="10"/>
  <c r="K22" i="10"/>
  <c r="J22" i="10"/>
  <c r="I22" i="10"/>
  <c r="N21" i="10"/>
  <c r="M21" i="10"/>
  <c r="L21" i="10"/>
  <c r="K21" i="10"/>
  <c r="J21" i="10"/>
  <c r="I21" i="10"/>
  <c r="N20" i="10"/>
  <c r="M20" i="10"/>
  <c r="L20" i="10"/>
  <c r="K20" i="10"/>
  <c r="J20" i="10"/>
  <c r="I20" i="10"/>
  <c r="N19" i="10"/>
  <c r="M19" i="10"/>
  <c r="L19" i="10"/>
  <c r="K19" i="10"/>
  <c r="J19" i="10"/>
  <c r="I19" i="10"/>
  <c r="N18" i="10"/>
  <c r="M18" i="10"/>
  <c r="L18" i="10"/>
  <c r="K18" i="10"/>
  <c r="J18" i="10"/>
  <c r="I18" i="10"/>
  <c r="N17" i="10"/>
  <c r="M17" i="10"/>
  <c r="L17" i="10"/>
  <c r="K17" i="10"/>
  <c r="J17" i="10"/>
  <c r="I17" i="10"/>
  <c r="N16" i="10"/>
  <c r="M16" i="10"/>
  <c r="L16" i="10"/>
  <c r="K16" i="10"/>
  <c r="J16" i="10"/>
  <c r="I16" i="10"/>
  <c r="N15" i="10"/>
  <c r="M15" i="10"/>
  <c r="L15" i="10"/>
  <c r="K15" i="10"/>
  <c r="J15" i="10"/>
  <c r="I15" i="10"/>
  <c r="N14" i="10"/>
  <c r="M14" i="10"/>
  <c r="L14" i="10"/>
  <c r="K14" i="10"/>
  <c r="J14" i="10"/>
  <c r="I14" i="10"/>
  <c r="N13" i="10"/>
  <c r="M13" i="10"/>
  <c r="L13" i="10"/>
  <c r="K13" i="10"/>
  <c r="J13" i="10"/>
  <c r="I13" i="10"/>
  <c r="N12" i="10"/>
  <c r="M12" i="10"/>
  <c r="L12" i="10"/>
  <c r="K12" i="10"/>
  <c r="J12" i="10"/>
  <c r="I12" i="10"/>
  <c r="N11" i="10"/>
  <c r="M11" i="10"/>
  <c r="L11" i="10"/>
  <c r="K11" i="10"/>
  <c r="J11" i="10"/>
  <c r="I11" i="10"/>
  <c r="N10" i="10"/>
  <c r="M10" i="10"/>
  <c r="L10" i="10"/>
  <c r="K10" i="10"/>
  <c r="J10" i="10"/>
  <c r="I10" i="10"/>
  <c r="N9" i="10"/>
  <c r="M9" i="10"/>
  <c r="L9" i="10"/>
  <c r="K9" i="10"/>
  <c r="J9" i="10"/>
  <c r="I9" i="10"/>
  <c r="N8" i="10"/>
  <c r="M8" i="10"/>
  <c r="L8" i="10"/>
  <c r="K8" i="10"/>
  <c r="J8" i="10"/>
  <c r="I8" i="10"/>
  <c r="N7" i="10"/>
  <c r="M7" i="10"/>
  <c r="L7" i="10"/>
  <c r="K7" i="10"/>
  <c r="J7" i="10"/>
  <c r="I7" i="10"/>
  <c r="N6" i="10"/>
  <c r="M6" i="10"/>
  <c r="L6" i="10"/>
  <c r="K6" i="10"/>
  <c r="J6" i="10"/>
  <c r="I6" i="10"/>
  <c r="N5" i="10"/>
  <c r="M5" i="10"/>
  <c r="L5" i="10"/>
  <c r="K5" i="10"/>
  <c r="J5" i="10"/>
  <c r="I5" i="10"/>
  <c r="N4" i="10"/>
  <c r="M4" i="10"/>
  <c r="L4" i="10"/>
  <c r="K4" i="10"/>
  <c r="J4" i="10"/>
  <c r="I4" i="10"/>
  <c r="N3" i="10"/>
  <c r="M3" i="10"/>
  <c r="L3" i="10"/>
  <c r="K3" i="10"/>
  <c r="J3" i="10"/>
  <c r="I3" i="10"/>
  <c r="N2" i="10"/>
  <c r="M2" i="10"/>
  <c r="M46" i="10" s="1"/>
  <c r="L2" i="10"/>
  <c r="L31" i="10" s="1"/>
  <c r="K2" i="10"/>
  <c r="J2" i="10"/>
  <c r="I2" i="10"/>
  <c r="B35" i="9" a="1"/>
  <c r="B39" i="9" s="1"/>
  <c r="B31" i="9"/>
  <c r="M26" i="9"/>
  <c r="L26" i="9"/>
  <c r="K26" i="9"/>
  <c r="J26" i="9"/>
  <c r="I26" i="9"/>
  <c r="M25" i="9"/>
  <c r="L25" i="9"/>
  <c r="K25" i="9"/>
  <c r="J25" i="9"/>
  <c r="I25" i="9"/>
  <c r="M24" i="9"/>
  <c r="L24" i="9"/>
  <c r="K24" i="9"/>
  <c r="J24" i="9"/>
  <c r="I24" i="9"/>
  <c r="M23" i="9"/>
  <c r="L23" i="9"/>
  <c r="K23" i="9"/>
  <c r="J23" i="9"/>
  <c r="I23" i="9"/>
  <c r="M22" i="9"/>
  <c r="L22" i="9"/>
  <c r="K22" i="9"/>
  <c r="J22" i="9"/>
  <c r="I22" i="9"/>
  <c r="M21" i="9"/>
  <c r="L21" i="9"/>
  <c r="K21" i="9"/>
  <c r="J21" i="9"/>
  <c r="I21" i="9"/>
  <c r="M20" i="9"/>
  <c r="L20" i="9"/>
  <c r="K20" i="9"/>
  <c r="J20" i="9"/>
  <c r="I20" i="9"/>
  <c r="M19" i="9"/>
  <c r="L19" i="9"/>
  <c r="K19" i="9"/>
  <c r="J19" i="9"/>
  <c r="I19" i="9"/>
  <c r="M18" i="9"/>
  <c r="L18" i="9"/>
  <c r="K18" i="9"/>
  <c r="J18" i="9"/>
  <c r="I18" i="9"/>
  <c r="M17" i="9"/>
  <c r="L17" i="9"/>
  <c r="K17" i="9"/>
  <c r="J17" i="9"/>
  <c r="I17" i="9"/>
  <c r="M16" i="9"/>
  <c r="L16" i="9"/>
  <c r="K16" i="9"/>
  <c r="J16" i="9"/>
  <c r="I16" i="9"/>
  <c r="M15" i="9"/>
  <c r="L15" i="9"/>
  <c r="K15" i="9"/>
  <c r="J15" i="9"/>
  <c r="I15" i="9"/>
  <c r="M14" i="9"/>
  <c r="L14" i="9"/>
  <c r="K14" i="9"/>
  <c r="J14" i="9"/>
  <c r="I14" i="9"/>
  <c r="M13" i="9"/>
  <c r="L13" i="9"/>
  <c r="K13" i="9"/>
  <c r="J13" i="9"/>
  <c r="I13" i="9"/>
  <c r="M12" i="9"/>
  <c r="L12" i="9"/>
  <c r="K12" i="9"/>
  <c r="J12" i="9"/>
  <c r="I12" i="9"/>
  <c r="M11" i="9"/>
  <c r="L11" i="9"/>
  <c r="K11" i="9"/>
  <c r="J11" i="9"/>
  <c r="I11" i="9"/>
  <c r="M10" i="9"/>
  <c r="L10" i="9"/>
  <c r="K10" i="9"/>
  <c r="J10" i="9"/>
  <c r="I10" i="9"/>
  <c r="M9" i="9"/>
  <c r="L9" i="9"/>
  <c r="K9" i="9"/>
  <c r="J9" i="9"/>
  <c r="I9" i="9"/>
  <c r="M8" i="9"/>
  <c r="L8" i="9"/>
  <c r="K8" i="9"/>
  <c r="J8" i="9"/>
  <c r="I8" i="9"/>
  <c r="M7" i="9"/>
  <c r="L7" i="9"/>
  <c r="K7" i="9"/>
  <c r="J7" i="9"/>
  <c r="I7" i="9"/>
  <c r="M6" i="9"/>
  <c r="L6" i="9"/>
  <c r="K6" i="9"/>
  <c r="J6" i="9"/>
  <c r="I6" i="9"/>
  <c r="M5" i="9"/>
  <c r="L5" i="9"/>
  <c r="K5" i="9"/>
  <c r="J5" i="9"/>
  <c r="I5" i="9"/>
  <c r="M4" i="9"/>
  <c r="L4" i="9"/>
  <c r="K4" i="9"/>
  <c r="J4" i="9"/>
  <c r="I4" i="9"/>
  <c r="M3" i="9"/>
  <c r="L3" i="9"/>
  <c r="K3" i="9"/>
  <c r="J3" i="9"/>
  <c r="I3" i="9"/>
  <c r="M2" i="9"/>
  <c r="D29" i="9" s="1"/>
  <c r="L2" i="9"/>
  <c r="K2" i="9"/>
  <c r="J2" i="9"/>
  <c r="I2" i="9"/>
  <c r="L5" i="12" l="1"/>
  <c r="M8" i="12"/>
  <c r="N8" i="12" s="1"/>
  <c r="L13" i="12"/>
  <c r="M16" i="12"/>
  <c r="N16" i="12" s="1"/>
  <c r="L21" i="12"/>
  <c r="M24" i="12"/>
  <c r="N24" i="12" s="1"/>
  <c r="L2" i="12"/>
  <c r="L10" i="12"/>
  <c r="L18" i="12"/>
  <c r="L26" i="12"/>
  <c r="L4" i="12"/>
  <c r="L12" i="12"/>
  <c r="L20" i="12"/>
  <c r="L28" i="12"/>
  <c r="B35" i="9"/>
  <c r="B36" i="9"/>
  <c r="B37" i="9"/>
  <c r="B38" i="9"/>
  <c r="X30" i="7" l="1"/>
  <c r="M52" i="7"/>
  <c r="M51" i="7"/>
  <c r="M50" i="7"/>
  <c r="M49" i="7"/>
  <c r="M48" i="7"/>
  <c r="M47" i="7"/>
  <c r="M46" i="7"/>
  <c r="M45" i="7"/>
  <c r="M44" i="7"/>
  <c r="M43" i="7"/>
  <c r="O42" i="7"/>
  <c r="N42" i="7"/>
  <c r="M42" i="7"/>
  <c r="O41" i="7"/>
  <c r="N41" i="7"/>
  <c r="M41" i="7"/>
  <c r="O40" i="7"/>
  <c r="N40" i="7"/>
  <c r="M40" i="7"/>
  <c r="O39" i="7"/>
  <c r="N39" i="7"/>
  <c r="M39" i="7" s="1"/>
  <c r="O38" i="7"/>
  <c r="N38" i="7"/>
  <c r="M38" i="7" s="1"/>
  <c r="O37" i="7"/>
  <c r="N37" i="7"/>
  <c r="M37" i="7" s="1"/>
  <c r="R36" i="7"/>
  <c r="Q36" i="7"/>
  <c r="P36" i="7"/>
  <c r="O36" i="7"/>
  <c r="N36" i="7"/>
  <c r="M36" i="7"/>
  <c r="L36" i="7"/>
  <c r="K36" i="7" a="1"/>
  <c r="K36" i="7" s="1"/>
  <c r="X35" i="7"/>
  <c r="R35" i="7"/>
  <c r="Q35" i="7"/>
  <c r="P35" i="7"/>
  <c r="O35" i="7"/>
  <c r="M35" i="7" s="1"/>
  <c r="N35" i="7"/>
  <c r="L35" i="7"/>
  <c r="K35" i="7"/>
  <c r="K35" i="7" a="1"/>
  <c r="R34" i="7"/>
  <c r="Q34" i="7"/>
  <c r="O34" i="7"/>
  <c r="N34" i="7"/>
  <c r="M34" i="7"/>
  <c r="L34" i="7"/>
  <c r="K34" i="7" a="1"/>
  <c r="K34" i="7" s="1"/>
  <c r="R33" i="7"/>
  <c r="Q33" i="7"/>
  <c r="O33" i="7"/>
  <c r="N33" i="7"/>
  <c r="M33" i="7"/>
  <c r="L33" i="7"/>
  <c r="K33" i="7" a="1"/>
  <c r="K33" i="7" s="1"/>
  <c r="R32" i="7"/>
  <c r="Q32" i="7"/>
  <c r="O32" i="7"/>
  <c r="N32" i="7"/>
  <c r="M32" i="7"/>
  <c r="L32" i="7"/>
  <c r="K32" i="7" a="1"/>
  <c r="K32" i="7" s="1"/>
  <c r="R31" i="7"/>
  <c r="Q31" i="7"/>
  <c r="P31" i="7"/>
  <c r="O31" i="7"/>
  <c r="M31" i="7" s="1"/>
  <c r="N31" i="7"/>
  <c r="L31" i="7"/>
  <c r="K31" i="7" a="1"/>
  <c r="K31" i="7" s="1"/>
  <c r="R30" i="7"/>
  <c r="Q30" i="7"/>
  <c r="P30" i="7"/>
  <c r="O30" i="7"/>
  <c r="N30" i="7"/>
  <c r="M30" i="7"/>
  <c r="L30" i="7"/>
  <c r="K30" i="7"/>
  <c r="K30" i="7" a="1"/>
  <c r="R29" i="7"/>
  <c r="Q29" i="7"/>
  <c r="O29" i="7"/>
  <c r="N29" i="7"/>
  <c r="M29" i="7"/>
  <c r="L29" i="7"/>
  <c r="K29" i="7" a="1"/>
  <c r="K29" i="7" s="1"/>
  <c r="R28" i="7"/>
  <c r="Q28" i="7"/>
  <c r="P28" i="7"/>
  <c r="O28" i="7"/>
  <c r="N28" i="7"/>
  <c r="M28" i="7" s="1"/>
  <c r="L28" i="7"/>
  <c r="K28" i="7" a="1"/>
  <c r="K28" i="7" s="1"/>
  <c r="R27" i="7"/>
  <c r="Q27" i="7"/>
  <c r="O27" i="7"/>
  <c r="N27" i="7"/>
  <c r="M27" i="7" s="1"/>
  <c r="L27" i="7"/>
  <c r="K27" i="7"/>
  <c r="K27" i="7" a="1"/>
  <c r="R26" i="7"/>
  <c r="Q26" i="7"/>
  <c r="O26" i="7"/>
  <c r="N26" i="7"/>
  <c r="M26" i="7"/>
  <c r="L26" i="7"/>
  <c r="K26" i="7" a="1"/>
  <c r="K26" i="7" s="1"/>
  <c r="R25" i="7"/>
  <c r="Q25" i="7"/>
  <c r="O25" i="7"/>
  <c r="N25" i="7"/>
  <c r="M25" i="7"/>
  <c r="L25" i="7"/>
  <c r="K25" i="7" a="1"/>
  <c r="K25" i="7" s="1"/>
  <c r="R24" i="7"/>
  <c r="Q24" i="7"/>
  <c r="P24" i="7"/>
  <c r="O24" i="7"/>
  <c r="N24" i="7"/>
  <c r="M24" i="7"/>
  <c r="L24" i="7"/>
  <c r="K24" i="7"/>
  <c r="K24" i="7" a="1"/>
  <c r="R23" i="7"/>
  <c r="Q23" i="7"/>
  <c r="O23" i="7"/>
  <c r="N23" i="7"/>
  <c r="M23" i="7"/>
  <c r="L23" i="7"/>
  <c r="K23" i="7" a="1"/>
  <c r="K23" i="7" s="1"/>
  <c r="R22" i="7"/>
  <c r="Q22" i="7"/>
  <c r="P22" i="7"/>
  <c r="O22" i="7"/>
  <c r="N22" i="7"/>
  <c r="M22" i="7"/>
  <c r="L22" i="7"/>
  <c r="K22" i="7"/>
  <c r="K22" i="7" a="1"/>
  <c r="R21" i="7"/>
  <c r="Q21" i="7"/>
  <c r="P21" i="7"/>
  <c r="O21" i="7"/>
  <c r="N21" i="7"/>
  <c r="M21" i="7" s="1"/>
  <c r="L21" i="7"/>
  <c r="K21" i="7" a="1"/>
  <c r="K21" i="7" s="1"/>
  <c r="R20" i="7"/>
  <c r="Q20" i="7"/>
  <c r="O20" i="7"/>
  <c r="M20" i="7" s="1"/>
  <c r="N20" i="7"/>
  <c r="L20" i="7"/>
  <c r="K20" i="7" a="1"/>
  <c r="K20" i="7" s="1"/>
  <c r="R19" i="7"/>
  <c r="Q19" i="7"/>
  <c r="O19" i="7"/>
  <c r="N19" i="7"/>
  <c r="M19" i="7" s="1"/>
  <c r="L19" i="7"/>
  <c r="K19" i="7"/>
  <c r="K19" i="7" a="1"/>
  <c r="R18" i="7"/>
  <c r="Q18" i="7"/>
  <c r="O18" i="7"/>
  <c r="M18" i="7" s="1"/>
  <c r="N18" i="7"/>
  <c r="L18" i="7"/>
  <c r="K18" i="7" a="1"/>
  <c r="K18" i="7" s="1"/>
  <c r="R17" i="7"/>
  <c r="Q17" i="7"/>
  <c r="P17" i="7"/>
  <c r="O17" i="7"/>
  <c r="N17" i="7"/>
  <c r="M17" i="7"/>
  <c r="L17" i="7"/>
  <c r="K17" i="7"/>
  <c r="K17" i="7" a="1"/>
  <c r="R16" i="7"/>
  <c r="Q16" i="7"/>
  <c r="O16" i="7"/>
  <c r="N16" i="7"/>
  <c r="M16" i="7"/>
  <c r="L16" i="7"/>
  <c r="K16" i="7" a="1"/>
  <c r="K16" i="7" s="1"/>
  <c r="R15" i="7"/>
  <c r="Q15" i="7"/>
  <c r="O15" i="7"/>
  <c r="N15" i="7"/>
  <c r="M15" i="7" s="1"/>
  <c r="L15" i="7"/>
  <c r="K15" i="7" a="1"/>
  <c r="K15" i="7" s="1"/>
  <c r="R14" i="7"/>
  <c r="Q14" i="7"/>
  <c r="P14" i="7"/>
  <c r="O14" i="7"/>
  <c r="M14" i="7" s="1"/>
  <c r="N14" i="7"/>
  <c r="L14" i="7"/>
  <c r="K14" i="7"/>
  <c r="K14" i="7" a="1"/>
  <c r="V13" i="7"/>
  <c r="P19" i="7" s="1"/>
  <c r="R13" i="7"/>
  <c r="Q13" i="7"/>
  <c r="O13" i="7"/>
  <c r="N13" i="7"/>
  <c r="M13" i="7"/>
  <c r="L13" i="7"/>
  <c r="K13" i="7" a="1"/>
  <c r="K13" i="7" s="1"/>
  <c r="R12" i="7"/>
  <c r="Q12" i="7"/>
  <c r="O12" i="7"/>
  <c r="N12" i="7"/>
  <c r="M12" i="7" s="1"/>
  <c r="L12" i="7"/>
  <c r="K12" i="7"/>
  <c r="K12" i="7" a="1"/>
  <c r="R11" i="7"/>
  <c r="Q11" i="7"/>
  <c r="P11" i="7"/>
  <c r="O11" i="7"/>
  <c r="M11" i="7" s="1"/>
  <c r="N11" i="7"/>
  <c r="L11" i="7"/>
  <c r="K11" i="7" a="1"/>
  <c r="K11" i="7" s="1"/>
  <c r="R10" i="7"/>
  <c r="Q10" i="7"/>
  <c r="P10" i="7"/>
  <c r="O10" i="7"/>
  <c r="N10" i="7"/>
  <c r="M10" i="7"/>
  <c r="L10" i="7"/>
  <c r="K10" i="7"/>
  <c r="K10" i="7" a="1"/>
  <c r="R9" i="7"/>
  <c r="Q9" i="7"/>
  <c r="O9" i="7"/>
  <c r="N9" i="7"/>
  <c r="M9" i="7" s="1"/>
  <c r="L9" i="7"/>
  <c r="K9" i="7" a="1"/>
  <c r="K9" i="7" s="1"/>
  <c r="R8" i="7"/>
  <c r="Q8" i="7"/>
  <c r="O8" i="7"/>
  <c r="N8" i="7"/>
  <c r="M8" i="7"/>
  <c r="L8" i="7"/>
  <c r="K8" i="7" a="1"/>
  <c r="K8" i="7" s="1"/>
  <c r="R7" i="7"/>
  <c r="Q7" i="7"/>
  <c r="O7" i="7"/>
  <c r="M7" i="7" s="1"/>
  <c r="N7" i="7"/>
  <c r="L7" i="7"/>
  <c r="K7" i="7"/>
  <c r="K7" i="7" a="1"/>
  <c r="R6" i="7"/>
  <c r="Q6" i="7"/>
  <c r="O6" i="7"/>
  <c r="M6" i="7" s="1"/>
  <c r="N6" i="7"/>
  <c r="L6" i="7"/>
  <c r="K6" i="7" a="1"/>
  <c r="K6" i="7" s="1"/>
  <c r="R5" i="7"/>
  <c r="Q5" i="7"/>
  <c r="O5" i="7"/>
  <c r="N5" i="7"/>
  <c r="M5" i="7"/>
  <c r="L5" i="7"/>
  <c r="K5" i="7" a="1"/>
  <c r="K5" i="7" s="1"/>
  <c r="R4" i="7"/>
  <c r="Q4" i="7"/>
  <c r="O4" i="7"/>
  <c r="N4" i="7"/>
  <c r="M4" i="7" s="1"/>
  <c r="L4" i="7"/>
  <c r="K4" i="7"/>
  <c r="K4" i="7" a="1"/>
  <c r="R3" i="7"/>
  <c r="Q3" i="7"/>
  <c r="O3" i="7"/>
  <c r="N3" i="7"/>
  <c r="M3" i="7"/>
  <c r="L3" i="7"/>
  <c r="K3" i="7" a="1"/>
  <c r="K3" i="7" s="1"/>
  <c r="R2" i="7"/>
  <c r="Q2" i="7"/>
  <c r="O2" i="7"/>
  <c r="N2" i="7"/>
  <c r="M2" i="7"/>
  <c r="L2" i="7"/>
  <c r="K2" i="7"/>
  <c r="K2" i="7" a="1"/>
  <c r="V36" i="5"/>
  <c r="M52" i="5"/>
  <c r="M51" i="5"/>
  <c r="M50" i="5"/>
  <c r="M49" i="5"/>
  <c r="M48" i="5"/>
  <c r="M47" i="5"/>
  <c r="M46" i="5"/>
  <c r="M45" i="5"/>
  <c r="M44" i="5"/>
  <c r="M43" i="5"/>
  <c r="O42" i="5"/>
  <c r="N42" i="5"/>
  <c r="M42" i="5" s="1"/>
  <c r="O41" i="5"/>
  <c r="M41" i="5" s="1"/>
  <c r="N41" i="5"/>
  <c r="O40" i="5"/>
  <c r="N40" i="5"/>
  <c r="M40" i="5" s="1"/>
  <c r="O39" i="5"/>
  <c r="N39" i="5"/>
  <c r="M39" i="5" s="1"/>
  <c r="O38" i="5"/>
  <c r="N38" i="5"/>
  <c r="M38" i="5" s="1"/>
  <c r="O37" i="5"/>
  <c r="N37" i="5"/>
  <c r="M37" i="5" s="1"/>
  <c r="P36" i="5"/>
  <c r="O36" i="5"/>
  <c r="M36" i="5" s="1"/>
  <c r="N36" i="5"/>
  <c r="L36" i="5"/>
  <c r="K36" i="5" a="1"/>
  <c r="K36" i="5" s="1"/>
  <c r="X42" i="5"/>
  <c r="P35" i="5"/>
  <c r="O35" i="5"/>
  <c r="N35" i="5"/>
  <c r="M35" i="5"/>
  <c r="L35" i="5"/>
  <c r="K35" i="5" a="1"/>
  <c r="K35" i="5" s="1"/>
  <c r="O34" i="5"/>
  <c r="N34" i="5"/>
  <c r="M34" i="5"/>
  <c r="L34" i="5"/>
  <c r="K34" i="5" a="1"/>
  <c r="K34" i="5" s="1"/>
  <c r="O33" i="5"/>
  <c r="M33" i="5" s="1"/>
  <c r="N33" i="5"/>
  <c r="L33" i="5"/>
  <c r="K33" i="5" a="1"/>
  <c r="K33" i="5" s="1"/>
  <c r="O32" i="5"/>
  <c r="M32" i="5" s="1"/>
  <c r="N32" i="5"/>
  <c r="L32" i="5"/>
  <c r="K32" i="5"/>
  <c r="K32" i="5" a="1"/>
  <c r="P31" i="5"/>
  <c r="O31" i="5"/>
  <c r="M31" i="5" s="1"/>
  <c r="N31" i="5"/>
  <c r="L31" i="5"/>
  <c r="K31" i="5"/>
  <c r="K31" i="5" a="1"/>
  <c r="P30" i="5"/>
  <c r="O30" i="5"/>
  <c r="N30" i="5"/>
  <c r="M30" i="5" s="1"/>
  <c r="L30" i="5"/>
  <c r="K30" i="5" a="1"/>
  <c r="K30" i="5" s="1"/>
  <c r="O29" i="5"/>
  <c r="N29" i="5"/>
  <c r="M29" i="5" s="1"/>
  <c r="L29" i="5"/>
  <c r="K29" i="5" a="1"/>
  <c r="K29" i="5" s="1"/>
  <c r="P28" i="5"/>
  <c r="O28" i="5"/>
  <c r="N28" i="5"/>
  <c r="M28" i="5" s="1"/>
  <c r="L28" i="5"/>
  <c r="K28" i="5" a="1"/>
  <c r="K28" i="5" s="1"/>
  <c r="O27" i="5"/>
  <c r="N27" i="5"/>
  <c r="M27" i="5" s="1"/>
  <c r="L27" i="5"/>
  <c r="K27" i="5" a="1"/>
  <c r="K27" i="5" s="1"/>
  <c r="O26" i="5"/>
  <c r="N26" i="5"/>
  <c r="M26" i="5" s="1"/>
  <c r="L26" i="5"/>
  <c r="K26" i="5" a="1"/>
  <c r="K26" i="5" s="1"/>
  <c r="O25" i="5"/>
  <c r="N25" i="5"/>
  <c r="M25" i="5" s="1"/>
  <c r="L25" i="5"/>
  <c r="K25" i="5" a="1"/>
  <c r="K25" i="5" s="1"/>
  <c r="P24" i="5"/>
  <c r="O24" i="5"/>
  <c r="M24" i="5" s="1"/>
  <c r="N24" i="5"/>
  <c r="L24" i="5"/>
  <c r="K24" i="5" a="1"/>
  <c r="K24" i="5" s="1"/>
  <c r="O23" i="5"/>
  <c r="N23" i="5"/>
  <c r="M23" i="5" s="1"/>
  <c r="L23" i="5"/>
  <c r="K23" i="5" a="1"/>
  <c r="K23" i="5" s="1"/>
  <c r="O22" i="5"/>
  <c r="N22" i="5"/>
  <c r="M22" i="5" s="1"/>
  <c r="L22" i="5"/>
  <c r="K22" i="5" a="1"/>
  <c r="K22" i="5" s="1"/>
  <c r="P21" i="5"/>
  <c r="O21" i="5"/>
  <c r="N21" i="5"/>
  <c r="M21" i="5" s="1"/>
  <c r="L21" i="5"/>
  <c r="K21" i="5" a="1"/>
  <c r="K21" i="5" s="1"/>
  <c r="O20" i="5"/>
  <c r="M20" i="5" s="1"/>
  <c r="N20" i="5"/>
  <c r="L20" i="5"/>
  <c r="K20" i="5" a="1"/>
  <c r="K20" i="5" s="1"/>
  <c r="O19" i="5"/>
  <c r="N19" i="5"/>
  <c r="M19" i="5" s="1"/>
  <c r="L19" i="5"/>
  <c r="K19" i="5" a="1"/>
  <c r="K19" i="5" s="1"/>
  <c r="O18" i="5"/>
  <c r="N18" i="5"/>
  <c r="M18" i="5"/>
  <c r="L18" i="5"/>
  <c r="K18" i="5" a="1"/>
  <c r="K18" i="5" s="1"/>
  <c r="P17" i="5"/>
  <c r="O17" i="5"/>
  <c r="N17" i="5"/>
  <c r="M17" i="5" s="1"/>
  <c r="L17" i="5"/>
  <c r="K17" i="5" a="1"/>
  <c r="K17" i="5" s="1"/>
  <c r="O16" i="5"/>
  <c r="N16" i="5"/>
  <c r="M16" i="5" s="1"/>
  <c r="L16" i="5"/>
  <c r="K16" i="5" a="1"/>
  <c r="K16" i="5" s="1"/>
  <c r="O15" i="5"/>
  <c r="N15" i="5"/>
  <c r="M15" i="5" s="1"/>
  <c r="L15" i="5"/>
  <c r="K15" i="5" a="1"/>
  <c r="K15" i="5" s="1"/>
  <c r="P14" i="5"/>
  <c r="O14" i="5"/>
  <c r="M14" i="5" s="1"/>
  <c r="N14" i="5"/>
  <c r="L14" i="5"/>
  <c r="K14" i="5" a="1"/>
  <c r="K14" i="5" s="1"/>
  <c r="W13" i="5"/>
  <c r="P19" i="5" s="1"/>
  <c r="O13" i="5"/>
  <c r="N13" i="5"/>
  <c r="M13" i="5"/>
  <c r="L13" i="5"/>
  <c r="K13" i="5" a="1"/>
  <c r="K13" i="5" s="1"/>
  <c r="P12" i="5"/>
  <c r="O12" i="5"/>
  <c r="N12" i="5"/>
  <c r="M12" i="5" s="1"/>
  <c r="L12" i="5"/>
  <c r="K12" i="5" a="1"/>
  <c r="K12" i="5" s="1"/>
  <c r="P11" i="5"/>
  <c r="O11" i="5"/>
  <c r="M11" i="5" s="1"/>
  <c r="N11" i="5"/>
  <c r="L11" i="5"/>
  <c r="K11" i="5" a="1"/>
  <c r="K11" i="5" s="1"/>
  <c r="P10" i="5"/>
  <c r="O10" i="5"/>
  <c r="M10" i="5" s="1"/>
  <c r="N10" i="5"/>
  <c r="L10" i="5"/>
  <c r="K10" i="5" a="1"/>
  <c r="K10" i="5" s="1"/>
  <c r="O9" i="5"/>
  <c r="N9" i="5"/>
  <c r="M9" i="5" s="1"/>
  <c r="L9" i="5"/>
  <c r="K9" i="5" a="1"/>
  <c r="K9" i="5" s="1"/>
  <c r="O8" i="5"/>
  <c r="M8" i="5" s="1"/>
  <c r="N8" i="5"/>
  <c r="L8" i="5"/>
  <c r="K8" i="5" a="1"/>
  <c r="K8" i="5" s="1"/>
  <c r="O7" i="5"/>
  <c r="M7" i="5" s="1"/>
  <c r="N7" i="5"/>
  <c r="L7" i="5"/>
  <c r="K7" i="5"/>
  <c r="K7" i="5" a="1"/>
  <c r="O6" i="5"/>
  <c r="M6" i="5" s="1"/>
  <c r="N6" i="5"/>
  <c r="L6" i="5"/>
  <c r="K6" i="5" a="1"/>
  <c r="K6" i="5" s="1"/>
  <c r="O5" i="5"/>
  <c r="M5" i="5" s="1"/>
  <c r="N5" i="5"/>
  <c r="L5" i="5"/>
  <c r="K5" i="5" a="1"/>
  <c r="K5" i="5" s="1"/>
  <c r="O4" i="5"/>
  <c r="N4" i="5"/>
  <c r="M4" i="5" s="1"/>
  <c r="L4" i="5"/>
  <c r="K4" i="5" a="1"/>
  <c r="K4" i="5" s="1"/>
  <c r="P3" i="5"/>
  <c r="O3" i="5"/>
  <c r="N3" i="5"/>
  <c r="M3" i="5"/>
  <c r="L3" i="5"/>
  <c r="K3" i="5" a="1"/>
  <c r="K3" i="5" s="1"/>
  <c r="P2" i="5"/>
  <c r="O2" i="5"/>
  <c r="N2" i="5"/>
  <c r="M2" i="5"/>
  <c r="L2" i="5"/>
  <c r="K2" i="5" a="1"/>
  <c r="K2" i="5" s="1"/>
  <c r="K36" i="4" a="1"/>
  <c r="K36" i="4" s="1"/>
  <c r="T41" i="4"/>
  <c r="K35" i="4" a="1"/>
  <c r="K35" i="4" s="1"/>
  <c r="K34" i="4" a="1"/>
  <c r="K34" i="4" s="1"/>
  <c r="K33" i="4" a="1"/>
  <c r="K33" i="4" s="1"/>
  <c r="K32" i="4" a="1"/>
  <c r="K32" i="4" s="1"/>
  <c r="K31" i="4" a="1"/>
  <c r="K31" i="4" s="1"/>
  <c r="K30" i="4" a="1"/>
  <c r="K30" i="4" s="1"/>
  <c r="K29" i="4" a="1"/>
  <c r="K29" i="4" s="1"/>
  <c r="K28" i="4" a="1"/>
  <c r="K28" i="4" s="1"/>
  <c r="K27" i="4" a="1"/>
  <c r="K27" i="4" s="1"/>
  <c r="K26" i="4" a="1"/>
  <c r="K26" i="4" s="1"/>
  <c r="K25" i="4" a="1"/>
  <c r="K25" i="4" s="1"/>
  <c r="K24" i="4" a="1"/>
  <c r="K24" i="4" s="1"/>
  <c r="K23" i="4" a="1"/>
  <c r="K23" i="4" s="1"/>
  <c r="K22" i="4" a="1"/>
  <c r="K22" i="4" s="1"/>
  <c r="K21" i="4" a="1"/>
  <c r="K21" i="4" s="1"/>
  <c r="K20" i="4" a="1"/>
  <c r="K20" i="4" s="1"/>
  <c r="K19" i="4" a="1"/>
  <c r="K19" i="4" s="1"/>
  <c r="K18" i="4" a="1"/>
  <c r="K18" i="4" s="1"/>
  <c r="K17" i="4" a="1"/>
  <c r="K17" i="4" s="1"/>
  <c r="K16" i="4" a="1"/>
  <c r="K16" i="4" s="1"/>
  <c r="K15" i="4" a="1"/>
  <c r="K15" i="4" s="1"/>
  <c r="K14" i="4" a="1"/>
  <c r="K14" i="4" s="1"/>
  <c r="T13" i="4"/>
  <c r="K13" i="4" a="1"/>
  <c r="K13" i="4" s="1"/>
  <c r="K12" i="4" a="1"/>
  <c r="K12" i="4" s="1"/>
  <c r="K11" i="4" a="1"/>
  <c r="K11" i="4" s="1"/>
  <c r="K10" i="4" a="1"/>
  <c r="K10" i="4" s="1"/>
  <c r="K9" i="4" a="1"/>
  <c r="K9" i="4" s="1"/>
  <c r="K8" i="4" a="1"/>
  <c r="K8" i="4" s="1"/>
  <c r="K7" i="4" a="1"/>
  <c r="K7" i="4" s="1"/>
  <c r="K6" i="4" a="1"/>
  <c r="K6" i="4" s="1"/>
  <c r="K5" i="4" a="1"/>
  <c r="K5" i="4" s="1"/>
  <c r="K4" i="4" a="1"/>
  <c r="K4" i="4" s="1"/>
  <c r="K3" i="4" a="1"/>
  <c r="K3" i="4" s="1"/>
  <c r="K2" i="4" a="1"/>
  <c r="K2" i="4" s="1"/>
  <c r="B25" i="3"/>
  <c r="B24" i="3"/>
  <c r="D21" i="3"/>
  <c r="F21" i="3" s="1"/>
  <c r="D20" i="3"/>
  <c r="F20" i="3" s="1"/>
  <c r="D19" i="3"/>
  <c r="F19" i="3" s="1"/>
  <c r="D18" i="3"/>
  <c r="D17" i="3"/>
  <c r="D16" i="3"/>
  <c r="D15" i="3"/>
  <c r="F15" i="3" s="1"/>
  <c r="D14" i="3"/>
  <c r="F14" i="3" s="1"/>
  <c r="D13" i="3"/>
  <c r="D12" i="3"/>
  <c r="D11" i="3"/>
  <c r="F11" i="3" s="1"/>
  <c r="D10" i="3"/>
  <c r="D9" i="3"/>
  <c r="D8" i="3"/>
  <c r="D7" i="3"/>
  <c r="D6" i="3"/>
  <c r="F6" i="3" s="1"/>
  <c r="D5" i="3"/>
  <c r="F5" i="3" s="1"/>
  <c r="D4" i="3"/>
  <c r="D3" i="3"/>
  <c r="F3" i="3" s="1"/>
  <c r="D2" i="3"/>
  <c r="P8" i="7" l="1"/>
  <c r="V14" i="7"/>
  <c r="P29" i="7" s="1"/>
  <c r="P2" i="7"/>
  <c r="P3" i="7"/>
  <c r="P16" i="7"/>
  <c r="P23" i="7"/>
  <c r="P12" i="7"/>
  <c r="P32" i="7"/>
  <c r="P13" i="7"/>
  <c r="P25" i="7"/>
  <c r="P33" i="7"/>
  <c r="P26" i="7"/>
  <c r="P34" i="7"/>
  <c r="P15" i="7"/>
  <c r="P32" i="5"/>
  <c r="W14" i="5"/>
  <c r="P29" i="5" s="1"/>
  <c r="P22" i="5"/>
  <c r="P23" i="5"/>
  <c r="P8" i="5"/>
  <c r="P25" i="5"/>
  <c r="P33" i="5"/>
  <c r="P34" i="5"/>
  <c r="P7" i="5"/>
  <c r="P27" i="5"/>
  <c r="T14" i="4"/>
  <c r="F12" i="3"/>
  <c r="F16" i="3"/>
  <c r="F13" i="3"/>
  <c r="F7" i="3"/>
  <c r="F9" i="3"/>
  <c r="F17" i="3"/>
  <c r="F2" i="3"/>
  <c r="F10" i="3"/>
  <c r="F18" i="3"/>
  <c r="F4" i="3"/>
  <c r="F8" i="3"/>
  <c r="P27" i="7" l="1"/>
  <c r="P7" i="7"/>
  <c r="P9" i="7"/>
  <c r="V15" i="7"/>
  <c r="P18" i="7" s="1"/>
  <c r="P20" i="7"/>
  <c r="P26" i="5"/>
  <c r="P9" i="5"/>
  <c r="P13" i="5"/>
  <c r="W15" i="5"/>
  <c r="P20" i="5" s="1"/>
  <c r="P16" i="5"/>
  <c r="P15" i="5"/>
  <c r="T15" i="4"/>
  <c r="P5" i="7" l="1"/>
  <c r="P6" i="7"/>
  <c r="V16" i="7"/>
  <c r="P4" i="7" s="1"/>
  <c r="A39" i="7"/>
  <c r="B41" i="7" s="1"/>
  <c r="P5" i="5"/>
  <c r="P6" i="5"/>
  <c r="W16" i="5"/>
  <c r="P4" i="5" s="1"/>
  <c r="A39" i="5" s="1"/>
  <c r="B41" i="5" s="1"/>
  <c r="P18" i="5"/>
  <c r="T16" i="4"/>
  <c r="A39" i="4" l="1"/>
  <c r="B41" i="4" s="1"/>
  <c r="O60" i="2"/>
  <c r="M60" i="2"/>
  <c r="J60" i="2"/>
  <c r="L60" i="2" s="1"/>
  <c r="I60" i="2"/>
  <c r="N60" i="2" s="1"/>
  <c r="O59" i="2"/>
  <c r="M59" i="2"/>
  <c r="J59" i="2"/>
  <c r="L59" i="2" s="1"/>
  <c r="I59" i="2"/>
  <c r="N59" i="2" s="1"/>
  <c r="O58" i="2"/>
  <c r="M58" i="2"/>
  <c r="J58" i="2"/>
  <c r="L58" i="2" s="1"/>
  <c r="I58" i="2"/>
  <c r="N58" i="2" s="1"/>
  <c r="O57" i="2"/>
  <c r="M57" i="2"/>
  <c r="J57" i="2"/>
  <c r="L57" i="2" s="1"/>
  <c r="I57" i="2"/>
  <c r="N57" i="2" s="1"/>
  <c r="O56" i="2"/>
  <c r="M56" i="2"/>
  <c r="J56" i="2"/>
  <c r="K56" i="2" s="1"/>
  <c r="I56" i="2"/>
  <c r="N56" i="2" s="1"/>
  <c r="O55" i="2"/>
  <c r="M55" i="2"/>
  <c r="J55" i="2"/>
  <c r="L55" i="2" s="1"/>
  <c r="I55" i="2"/>
  <c r="N55" i="2" s="1"/>
  <c r="O54" i="2"/>
  <c r="M54" i="2"/>
  <c r="J54" i="2"/>
  <c r="L54" i="2" s="1"/>
  <c r="I54" i="2"/>
  <c r="N54" i="2" s="1"/>
  <c r="O53" i="2"/>
  <c r="M53" i="2"/>
  <c r="J53" i="2"/>
  <c r="K53" i="2" s="1"/>
  <c r="I53" i="2"/>
  <c r="N53" i="2" s="1"/>
  <c r="O52" i="2"/>
  <c r="M52" i="2"/>
  <c r="J52" i="2"/>
  <c r="K52" i="2" s="1"/>
  <c r="I52" i="2"/>
  <c r="N52" i="2" s="1"/>
  <c r="O51" i="2"/>
  <c r="M51" i="2"/>
  <c r="J51" i="2"/>
  <c r="K51" i="2" s="1"/>
  <c r="I51" i="2"/>
  <c r="N51" i="2" s="1"/>
  <c r="O50" i="2"/>
  <c r="M50" i="2"/>
  <c r="J50" i="2"/>
  <c r="L50" i="2" s="1"/>
  <c r="I50" i="2"/>
  <c r="N50" i="2" s="1"/>
  <c r="O49" i="2"/>
  <c r="M49" i="2"/>
  <c r="J49" i="2"/>
  <c r="L49" i="2" s="1"/>
  <c r="I49" i="2"/>
  <c r="N49" i="2" s="1"/>
  <c r="V48" i="2"/>
  <c r="O48" i="2"/>
  <c r="M48" i="2"/>
  <c r="J48" i="2"/>
  <c r="L48" i="2" s="1"/>
  <c r="I48" i="2"/>
  <c r="N48" i="2" s="1"/>
  <c r="O47" i="2"/>
  <c r="M47" i="2"/>
  <c r="J47" i="2"/>
  <c r="L47" i="2" s="1"/>
  <c r="I47" i="2"/>
  <c r="N47" i="2" s="1"/>
  <c r="O46" i="2"/>
  <c r="M46" i="2"/>
  <c r="J46" i="2"/>
  <c r="K46" i="2" s="1"/>
  <c r="I46" i="2"/>
  <c r="N46" i="2" s="1"/>
  <c r="O45" i="2"/>
  <c r="M45" i="2"/>
  <c r="J45" i="2"/>
  <c r="L45" i="2" s="1"/>
  <c r="I45" i="2"/>
  <c r="N45" i="2" s="1"/>
  <c r="O44" i="2"/>
  <c r="M44" i="2"/>
  <c r="J44" i="2"/>
  <c r="L44" i="2" s="1"/>
  <c r="I44" i="2"/>
  <c r="N44" i="2" s="1"/>
  <c r="O43" i="2"/>
  <c r="M43" i="2"/>
  <c r="J43" i="2"/>
  <c r="K43" i="2" s="1"/>
  <c r="I43" i="2"/>
  <c r="N43" i="2" s="1"/>
  <c r="O42" i="2"/>
  <c r="M42" i="2"/>
  <c r="J42" i="2"/>
  <c r="L42" i="2" s="1"/>
  <c r="I42" i="2"/>
  <c r="N42" i="2" s="1"/>
  <c r="O41" i="2"/>
  <c r="M41" i="2"/>
  <c r="J41" i="2"/>
  <c r="L41" i="2" s="1"/>
  <c r="I41" i="2"/>
  <c r="N41" i="2" s="1"/>
  <c r="O40" i="2"/>
  <c r="M40" i="2"/>
  <c r="J40" i="2"/>
  <c r="L40" i="2" s="1"/>
  <c r="I40" i="2"/>
  <c r="N40" i="2" s="1"/>
  <c r="O39" i="2"/>
  <c r="M39" i="2"/>
  <c r="J39" i="2"/>
  <c r="L39" i="2" s="1"/>
  <c r="I39" i="2"/>
  <c r="N39" i="2" s="1"/>
  <c r="O38" i="2"/>
  <c r="M38" i="2"/>
  <c r="J38" i="2"/>
  <c r="K38" i="2" s="1"/>
  <c r="I38" i="2"/>
  <c r="N38" i="2" s="1"/>
  <c r="O37" i="2"/>
  <c r="M37" i="2"/>
  <c r="J37" i="2"/>
  <c r="L37" i="2" s="1"/>
  <c r="I37" i="2"/>
  <c r="N37" i="2" s="1"/>
  <c r="O36" i="2"/>
  <c r="M36" i="2"/>
  <c r="J36" i="2"/>
  <c r="L36" i="2" s="1"/>
  <c r="I36" i="2"/>
  <c r="N36" i="2" s="1"/>
  <c r="O35" i="2"/>
  <c r="M35" i="2"/>
  <c r="J35" i="2"/>
  <c r="K35" i="2" s="1"/>
  <c r="I35" i="2"/>
  <c r="N35" i="2" s="1"/>
  <c r="O34" i="2"/>
  <c r="M34" i="2"/>
  <c r="J34" i="2"/>
  <c r="L34" i="2" s="1"/>
  <c r="I34" i="2"/>
  <c r="N34" i="2" s="1"/>
  <c r="O33" i="2"/>
  <c r="N33" i="2"/>
  <c r="M33" i="2"/>
  <c r="J33" i="2"/>
  <c r="L33" i="2" s="1"/>
  <c r="I33" i="2"/>
  <c r="O32" i="2"/>
  <c r="M32" i="2"/>
  <c r="J32" i="2"/>
  <c r="L32" i="2" s="1"/>
  <c r="I32" i="2"/>
  <c r="N32" i="2" s="1"/>
  <c r="O31" i="2"/>
  <c r="M31" i="2"/>
  <c r="J31" i="2"/>
  <c r="L31" i="2" s="1"/>
  <c r="I31" i="2"/>
  <c r="N31" i="2" s="1"/>
  <c r="O30" i="2"/>
  <c r="M30" i="2"/>
  <c r="J30" i="2"/>
  <c r="L30" i="2" s="1"/>
  <c r="I30" i="2"/>
  <c r="N30" i="2" s="1"/>
  <c r="O29" i="2"/>
  <c r="M29" i="2"/>
  <c r="J29" i="2"/>
  <c r="L29" i="2" s="1"/>
  <c r="I29" i="2"/>
  <c r="N29" i="2" s="1"/>
  <c r="O28" i="2"/>
  <c r="M28" i="2"/>
  <c r="J28" i="2"/>
  <c r="L28" i="2" s="1"/>
  <c r="I28" i="2"/>
  <c r="N28" i="2" s="1"/>
  <c r="O27" i="2"/>
  <c r="M27" i="2"/>
  <c r="J27" i="2"/>
  <c r="L27" i="2" s="1"/>
  <c r="I27" i="2"/>
  <c r="N27" i="2" s="1"/>
  <c r="O26" i="2"/>
  <c r="M26" i="2"/>
  <c r="J26" i="2"/>
  <c r="L26" i="2" s="1"/>
  <c r="I26" i="2"/>
  <c r="N26" i="2" s="1"/>
  <c r="O25" i="2"/>
  <c r="M25" i="2"/>
  <c r="J25" i="2"/>
  <c r="K25" i="2" s="1"/>
  <c r="I25" i="2"/>
  <c r="N25" i="2" s="1"/>
  <c r="O24" i="2"/>
  <c r="M24" i="2"/>
  <c r="J24" i="2"/>
  <c r="L24" i="2" s="1"/>
  <c r="I24" i="2"/>
  <c r="N24" i="2" s="1"/>
  <c r="O23" i="2"/>
  <c r="M23" i="2"/>
  <c r="J23" i="2"/>
  <c r="L23" i="2" s="1"/>
  <c r="I23" i="2"/>
  <c r="N23" i="2" s="1"/>
  <c r="O22" i="2"/>
  <c r="M22" i="2"/>
  <c r="J22" i="2"/>
  <c r="L22" i="2" s="1"/>
  <c r="I22" i="2"/>
  <c r="N22" i="2" s="1"/>
  <c r="O21" i="2"/>
  <c r="M21" i="2"/>
  <c r="J21" i="2"/>
  <c r="K21" i="2" s="1"/>
  <c r="I21" i="2"/>
  <c r="N21" i="2" s="1"/>
  <c r="O20" i="2"/>
  <c r="M20" i="2"/>
  <c r="J20" i="2"/>
  <c r="L20" i="2" s="1"/>
  <c r="I20" i="2"/>
  <c r="N20" i="2" s="1"/>
  <c r="O19" i="2"/>
  <c r="M19" i="2"/>
  <c r="J19" i="2"/>
  <c r="L19" i="2" s="1"/>
  <c r="I19" i="2"/>
  <c r="N19" i="2" s="1"/>
  <c r="O18" i="2"/>
  <c r="M18" i="2"/>
  <c r="J18" i="2"/>
  <c r="L18" i="2" s="1"/>
  <c r="I18" i="2"/>
  <c r="N18" i="2" s="1"/>
  <c r="O17" i="2"/>
  <c r="M17" i="2"/>
  <c r="J17" i="2"/>
  <c r="K17" i="2" s="1"/>
  <c r="I17" i="2"/>
  <c r="N17" i="2" s="1"/>
  <c r="O16" i="2"/>
  <c r="M16" i="2"/>
  <c r="J16" i="2"/>
  <c r="L16" i="2" s="1"/>
  <c r="I16" i="2"/>
  <c r="N16" i="2" s="1"/>
  <c r="O15" i="2"/>
  <c r="M15" i="2"/>
  <c r="J15" i="2"/>
  <c r="L15" i="2" s="1"/>
  <c r="I15" i="2"/>
  <c r="N15" i="2" s="1"/>
  <c r="O14" i="2"/>
  <c r="M14" i="2"/>
  <c r="J14" i="2"/>
  <c r="L14" i="2" s="1"/>
  <c r="I14" i="2"/>
  <c r="N14" i="2" s="1"/>
  <c r="O13" i="2"/>
  <c r="M13" i="2"/>
  <c r="J13" i="2"/>
  <c r="L13" i="2" s="1"/>
  <c r="I13" i="2"/>
  <c r="N13" i="2" s="1"/>
  <c r="O12" i="2"/>
  <c r="M12" i="2"/>
  <c r="J12" i="2"/>
  <c r="L12" i="2" s="1"/>
  <c r="I12" i="2"/>
  <c r="N12" i="2" s="1"/>
  <c r="O11" i="2"/>
  <c r="M11" i="2"/>
  <c r="J11" i="2"/>
  <c r="L11" i="2" s="1"/>
  <c r="I11" i="2"/>
  <c r="N11" i="2" s="1"/>
  <c r="O10" i="2"/>
  <c r="M10" i="2"/>
  <c r="J10" i="2"/>
  <c r="L10" i="2" s="1"/>
  <c r="I10" i="2"/>
  <c r="N10" i="2" s="1"/>
  <c r="O9" i="2"/>
  <c r="M9" i="2"/>
  <c r="J9" i="2"/>
  <c r="L9" i="2" s="1"/>
  <c r="I9" i="2"/>
  <c r="N9" i="2" s="1"/>
  <c r="O8" i="2"/>
  <c r="M8" i="2"/>
  <c r="J8" i="2"/>
  <c r="L8" i="2" s="1"/>
  <c r="I8" i="2"/>
  <c r="N8" i="2" s="1"/>
  <c r="O7" i="2"/>
  <c r="M7" i="2"/>
  <c r="J7" i="2"/>
  <c r="K7" i="2" s="1"/>
  <c r="I7" i="2"/>
  <c r="N7" i="2" s="1"/>
  <c r="O6" i="2"/>
  <c r="M6" i="2"/>
  <c r="J6" i="2"/>
  <c r="L6" i="2" s="1"/>
  <c r="I6" i="2"/>
  <c r="N6" i="2" s="1"/>
  <c r="O5" i="2"/>
  <c r="M5" i="2"/>
  <c r="J5" i="2"/>
  <c r="L5" i="2" s="1"/>
  <c r="I5" i="2"/>
  <c r="N5" i="2" s="1"/>
  <c r="O4" i="2"/>
  <c r="M4" i="2"/>
  <c r="J4" i="2"/>
  <c r="K4" i="2" s="1"/>
  <c r="I4" i="2"/>
  <c r="N4" i="2" s="1"/>
  <c r="O3" i="2"/>
  <c r="M3" i="2"/>
  <c r="J3" i="2"/>
  <c r="L3" i="2" s="1"/>
  <c r="I3" i="2"/>
  <c r="N3" i="2" s="1"/>
  <c r="O2" i="2"/>
  <c r="M2" i="2"/>
  <c r="U52" i="2" s="1"/>
  <c r="J2" i="2"/>
  <c r="K2" i="2" s="1"/>
  <c r="I2" i="2"/>
  <c r="N2" i="2" s="1"/>
  <c r="K14" i="2" l="1"/>
  <c r="L56" i="2"/>
  <c r="K13" i="2"/>
  <c r="K22" i="2"/>
  <c r="L4" i="2"/>
  <c r="L51" i="2"/>
  <c r="K3" i="2"/>
  <c r="K6" i="2"/>
  <c r="K8" i="2"/>
  <c r="K39" i="2"/>
  <c r="L17" i="2"/>
  <c r="K29" i="2"/>
  <c r="K34" i="2"/>
  <c r="L46" i="2"/>
  <c r="L21" i="2"/>
  <c r="L43" i="2"/>
  <c r="L53" i="2"/>
  <c r="K45" i="2"/>
  <c r="K55" i="2"/>
  <c r="K30" i="2"/>
  <c r="K42" i="2"/>
  <c r="L52" i="2"/>
  <c r="K57" i="2"/>
  <c r="K60" i="2"/>
  <c r="K16" i="2"/>
  <c r="L25" i="2"/>
  <c r="K28" i="2"/>
  <c r="L35" i="2"/>
  <c r="L38" i="2"/>
  <c r="K47" i="2"/>
  <c r="K59" i="2"/>
  <c r="L7" i="2"/>
  <c r="K24" i="2"/>
  <c r="K27" i="2"/>
  <c r="K31" i="2"/>
  <c r="K37" i="2"/>
  <c r="K5" i="2"/>
  <c r="K15" i="2"/>
  <c r="K23" i="2"/>
  <c r="K36" i="2"/>
  <c r="K44" i="2"/>
  <c r="K54" i="2"/>
  <c r="W9" i="2"/>
  <c r="V11" i="2" s="1"/>
  <c r="K11" i="2"/>
  <c r="K12" i="2"/>
  <c r="K20" i="2"/>
  <c r="K33" i="2"/>
  <c r="K41" i="2"/>
  <c r="K50" i="2"/>
  <c r="L2" i="2"/>
  <c r="K9" i="2"/>
  <c r="K10" i="2"/>
  <c r="K19" i="2"/>
  <c r="K32" i="2"/>
  <c r="K40" i="2"/>
  <c r="K48" i="2"/>
  <c r="K49" i="2"/>
  <c r="K58" i="2"/>
  <c r="K18" i="2"/>
  <c r="K26" i="2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<sst xmlns="http://schemas.openxmlformats.org/spreadsheetml/2006/main" count="1677" uniqueCount="611">
  <si>
    <t>קוד עובד</t>
  </si>
  <si>
    <t>שם מלא</t>
  </si>
  <si>
    <t>עיר מגורים</t>
  </si>
  <si>
    <t>תאריך לידה</t>
  </si>
  <si>
    <t>תאריך תחילת עבודה</t>
  </si>
  <si>
    <t>השכלה</t>
  </si>
  <si>
    <t>תפקיד</t>
  </si>
  <si>
    <t>שכר בסיס</t>
  </si>
  <si>
    <t>שכר ברוטו כולל</t>
  </si>
  <si>
    <t>תאריך יציאה לפנסיה</t>
  </si>
  <si>
    <t>חודש יציאה לפנסיה</t>
  </si>
  <si>
    <t>יום יציאה לפנסיה</t>
  </si>
  <si>
    <t>וותק בעבודה</t>
  </si>
  <si>
    <t>שכר נטו</t>
  </si>
  <si>
    <t>השתלמות</t>
  </si>
  <si>
    <t>עמרם רחל וציון</t>
  </si>
  <si>
    <t>אילת</t>
  </si>
  <si>
    <t>מוסמך</t>
  </si>
  <si>
    <t>סמנכ"ל</t>
  </si>
  <si>
    <t>תוספת בגין נקודת דרגה</t>
  </si>
  <si>
    <t>קליינר בטי ואבי</t>
  </si>
  <si>
    <t>מכבים</t>
  </si>
  <si>
    <t>בוגר</t>
  </si>
  <si>
    <t>מנהל מחלקה</t>
  </si>
  <si>
    <t>ישראל כפיר</t>
  </si>
  <si>
    <t>החותרים</t>
  </si>
  <si>
    <t>ד"ר</t>
  </si>
  <si>
    <t>ראש צוות</t>
  </si>
  <si>
    <t>מרטיניז אילנה</t>
  </si>
  <si>
    <t>נען</t>
  </si>
  <si>
    <t>מנהל תחום</t>
  </si>
  <si>
    <t>אזולאי אתי ושמיל</t>
  </si>
  <si>
    <t>רעות</t>
  </si>
  <si>
    <t>גבר ברוך</t>
  </si>
  <si>
    <t>גזר</t>
  </si>
  <si>
    <t>אלבז איריס ומיכאל</t>
  </si>
  <si>
    <t>מצפה רמון</t>
  </si>
  <si>
    <t>אינברג בוריס</t>
  </si>
  <si>
    <t>באר שבע</t>
  </si>
  <si>
    <t>סה"כ השכר של עובדים בעלי דרגה מוסמך :</t>
  </si>
  <si>
    <t>אברהם מטי ויצחק</t>
  </si>
  <si>
    <t>מגדיאל</t>
  </si>
  <si>
    <t>חורב אלון וקארין</t>
  </si>
  <si>
    <t>תוספת בגין כל נקודה</t>
  </si>
  <si>
    <t>צברי ורד ומשה</t>
  </si>
  <si>
    <t>דרור גיטי ונתן</t>
  </si>
  <si>
    <t>רעננה</t>
  </si>
  <si>
    <t>תיכונית</t>
  </si>
  <si>
    <t>גולני תמי ואורי</t>
  </si>
  <si>
    <t>פקיד</t>
  </si>
  <si>
    <t>לוי שולה ואבי</t>
  </si>
  <si>
    <t>דמרי שושנה ודניאל</t>
  </si>
  <si>
    <t>כפר סבא</t>
  </si>
  <si>
    <t>מירי לאשוילי שרה</t>
  </si>
  <si>
    <t>אופקים</t>
  </si>
  <si>
    <t>מנדלבוים שרה וחיים</t>
  </si>
  <si>
    <t>מודיעין</t>
  </si>
  <si>
    <t>בארי חיה ואיציק</t>
  </si>
  <si>
    <t>תותחני מנשה</t>
  </si>
  <si>
    <t>חיפה</t>
  </si>
  <si>
    <t>שובל ציונה וגבי</t>
  </si>
  <si>
    <t>תל אביב-יפו</t>
  </si>
  <si>
    <t>אלבז תמי ושמעון</t>
  </si>
  <si>
    <t>עמירה יפה וברוך</t>
  </si>
  <si>
    <t>סינגל אילן</t>
  </si>
  <si>
    <t>איריס מזרחי</t>
  </si>
  <si>
    <t>לחדן פטרישה וחיים</t>
  </si>
  <si>
    <t>כדורי משה</t>
  </si>
  <si>
    <t>חזיזה אתי ואלי</t>
  </si>
  <si>
    <t>עברי דבי ודודי</t>
  </si>
  <si>
    <t>בסעד עופרה ומשה</t>
  </si>
  <si>
    <t>הוד השרון</t>
  </si>
  <si>
    <t>מכלוף שי</t>
  </si>
  <si>
    <t>פנחס נעמה ויריב</t>
  </si>
  <si>
    <t>קרקו יצחק</t>
  </si>
  <si>
    <t>בן שושן עינת וחיים</t>
  </si>
  <si>
    <t>בן-חיון יפעת ואבי</t>
  </si>
  <si>
    <t>פורדיס</t>
  </si>
  <si>
    <t>מור רויטל וחי</t>
  </si>
  <si>
    <t>סמסון יהודית ושלום</t>
  </si>
  <si>
    <t>אשכול אריאל</t>
  </si>
  <si>
    <t>נס ציונה</t>
  </si>
  <si>
    <t>בסטקר שרון</t>
  </si>
  <si>
    <t>בן דוד אורנה ורונן</t>
  </si>
  <si>
    <t>הבונים</t>
  </si>
  <si>
    <t>בן-עמי אתי</t>
  </si>
  <si>
    <t>שעיה יואב וסנדרה</t>
  </si>
  <si>
    <t>שבת</t>
  </si>
  <si>
    <t>כהן יעל ואבי</t>
  </si>
  <si>
    <t>יום ראשון</t>
  </si>
  <si>
    <t>פרץ אילן</t>
  </si>
  <si>
    <t>יקבע מועד אחר</t>
  </si>
  <si>
    <t>יגודייב צבי</t>
  </si>
  <si>
    <t>בן-עמי יפה ויוסי</t>
  </si>
  <si>
    <t>ירושלים</t>
  </si>
  <si>
    <t>הדר יוסי</t>
  </si>
  <si>
    <t>ברוך לאה ורפי</t>
  </si>
  <si>
    <t>ממוצע שכר בסיס</t>
  </si>
  <si>
    <t>הממזג מאור</t>
  </si>
  <si>
    <t>רוקח זאב</t>
  </si>
  <si>
    <t>דודפור עמרם ושלומית</t>
  </si>
  <si>
    <t>כהן חיים ודוקטורי אורה</t>
  </si>
  <si>
    <t>כהן קרן ודורון</t>
  </si>
  <si>
    <t>פדידה יהודית ואלי</t>
  </si>
  <si>
    <t>לוויטין בוריס</t>
  </si>
  <si>
    <t>ראשון לציון</t>
  </si>
  <si>
    <t>דרזנר אריה</t>
  </si>
  <si>
    <t>אלפסי אליהו</t>
  </si>
  <si>
    <t>ביטן גד</t>
  </si>
  <si>
    <t>אלגלי אתי ויעקב</t>
  </si>
  <si>
    <t>שהם</t>
  </si>
  <si>
    <t>גרין ענבר ועידן</t>
  </si>
  <si>
    <t>קורס AI</t>
  </si>
  <si>
    <t>קורס BI</t>
  </si>
  <si>
    <t>קורס תכנות</t>
  </si>
  <si>
    <t>קורס מחשבים כולל</t>
  </si>
  <si>
    <t>ניהול טכנולוגי</t>
  </si>
  <si>
    <t>קורס קניינות ברשת</t>
  </si>
  <si>
    <t>מועד ב 2024</t>
  </si>
  <si>
    <t>שם משפחה</t>
  </si>
  <si>
    <t>שם פרטי</t>
  </si>
  <si>
    <t>שכר בדולר</t>
  </si>
  <si>
    <t>שכר בש"ח</t>
  </si>
  <si>
    <t>שכר חודשי נטו</t>
  </si>
  <si>
    <t>רונן</t>
  </si>
  <si>
    <t>עדי</t>
  </si>
  <si>
    <t>שער הדולר</t>
  </si>
  <si>
    <t>דובר</t>
  </si>
  <si>
    <t>דוד</t>
  </si>
  <si>
    <t>יוסי</t>
  </si>
  <si>
    <t>אלפסי</t>
  </si>
  <si>
    <t>מנחם</t>
  </si>
  <si>
    <t>ארנס</t>
  </si>
  <si>
    <t>לימור</t>
  </si>
  <si>
    <t>ברוס</t>
  </si>
  <si>
    <t>פלג</t>
  </si>
  <si>
    <t>כהן</t>
  </si>
  <si>
    <t>דקלה</t>
  </si>
  <si>
    <t>לוי</t>
  </si>
  <si>
    <t>נגה</t>
  </si>
  <si>
    <t>חוה</t>
  </si>
  <si>
    <t>חנקין</t>
  </si>
  <si>
    <t>ענבר</t>
  </si>
  <si>
    <t>מזרחי</t>
  </si>
  <si>
    <t>אתי</t>
  </si>
  <si>
    <t>רגב</t>
  </si>
  <si>
    <t>ורד</t>
  </si>
  <si>
    <t>רז</t>
  </si>
  <si>
    <t>חיים</t>
  </si>
  <si>
    <t>בראון</t>
  </si>
  <si>
    <t>רוזן</t>
  </si>
  <si>
    <t>ענת</t>
  </si>
  <si>
    <t>שלומי</t>
  </si>
  <si>
    <t>ארז</t>
  </si>
  <si>
    <t>רבינוביץ</t>
  </si>
  <si>
    <t>מיכל</t>
  </si>
  <si>
    <t>יובל</t>
  </si>
  <si>
    <t>ניצן</t>
  </si>
  <si>
    <t>מיה</t>
  </si>
  <si>
    <t>מענק בדולר</t>
  </si>
  <si>
    <t>מענק בשח</t>
  </si>
  <si>
    <t>ממועד ב 2025:</t>
  </si>
  <si>
    <t>מענק בדולרים</t>
  </si>
  <si>
    <t>מס הכנסה בש"ח</t>
  </si>
  <si>
    <t>תא עזר לתנאי</t>
  </si>
  <si>
    <t>נתון:</t>
  </si>
  <si>
    <t>מספר ת.ז</t>
  </si>
  <si>
    <t>כתובת דוא"ל</t>
  </si>
  <si>
    <t>תאריך הצטרפות</t>
  </si>
  <si>
    <t xml:space="preserve">גיל </t>
  </si>
  <si>
    <t>אזור מגורים</t>
  </si>
  <si>
    <t>מסלול לקוח</t>
  </si>
  <si>
    <t xml:space="preserve">מספר חודשי ותק </t>
  </si>
  <si>
    <t>משכורת חודשית ממוצעת</t>
  </si>
  <si>
    <t>מענק ללקוח בשח</t>
  </si>
  <si>
    <t>תאריך משיכת מענק</t>
  </si>
  <si>
    <t>בונוס לעובד</t>
  </si>
  <si>
    <t>משכורת חודשית ממוצעת באירו</t>
  </si>
  <si>
    <t>משכורת שנתית ממוצעת</t>
  </si>
  <si>
    <t>צחי</t>
  </si>
  <si>
    <t>JXIELUBY@colman.ac.il</t>
  </si>
  <si>
    <t>מרכז</t>
  </si>
  <si>
    <t>בסיסי</t>
  </si>
  <si>
    <t>טבלת מספר 1:</t>
  </si>
  <si>
    <t>אורן</t>
  </si>
  <si>
    <t>וידר</t>
  </si>
  <si>
    <t>RFANLGI22@gmail.com</t>
  </si>
  <si>
    <t>פרמיום</t>
  </si>
  <si>
    <t>חודשי ותק/מסלול</t>
  </si>
  <si>
    <t>עסקי</t>
  </si>
  <si>
    <t>בני</t>
  </si>
  <si>
    <t>קוזניץ</t>
  </si>
  <si>
    <t>BD12BUB@colman.ac.il</t>
  </si>
  <si>
    <t>צפון</t>
  </si>
  <si>
    <t xml:space="preserve">צביקה </t>
  </si>
  <si>
    <t>אברמוביץ</t>
  </si>
  <si>
    <t>R5HJ9DT@gmail.com</t>
  </si>
  <si>
    <t>דרום</t>
  </si>
  <si>
    <t>חן</t>
  </si>
  <si>
    <t>אבני</t>
  </si>
  <si>
    <t>JXI45LUBY@colman.ac.il</t>
  </si>
  <si>
    <t>משה</t>
  </si>
  <si>
    <t>GILIUU8@gmail.com</t>
  </si>
  <si>
    <t>מני</t>
  </si>
  <si>
    <t>פורת</t>
  </si>
  <si>
    <t>FFNGQQWT@ynet.co.il</t>
  </si>
  <si>
    <t>שי</t>
  </si>
  <si>
    <t>פסט</t>
  </si>
  <si>
    <t>QW3@hotmail.com</t>
  </si>
  <si>
    <t>ליאור</t>
  </si>
  <si>
    <t>פינקלשטייו</t>
  </si>
  <si>
    <t>NYIAVES@colman.ac.il</t>
  </si>
  <si>
    <t>נתונים לשאלה 2 א</t>
  </si>
  <si>
    <t>אבינועם</t>
  </si>
  <si>
    <t>זוהר</t>
  </si>
  <si>
    <t>GIMI89FG@walla.co.il</t>
  </si>
  <si>
    <t>מדרגה</t>
  </si>
  <si>
    <t>אחוז</t>
  </si>
  <si>
    <t>מצטבר</t>
  </si>
  <si>
    <t>עומרי</t>
  </si>
  <si>
    <t>חרד</t>
  </si>
  <si>
    <t>RAV8O@walla.co.il</t>
  </si>
  <si>
    <t>אלי</t>
  </si>
  <si>
    <t>זונשיין</t>
  </si>
  <si>
    <t>JAKI89@gmail.com</t>
  </si>
  <si>
    <t>חזי</t>
  </si>
  <si>
    <t>אביגד</t>
  </si>
  <si>
    <t>MYGLDVTD@colman.ac.il</t>
  </si>
  <si>
    <t>איתמר</t>
  </si>
  <si>
    <t>גרינפלד</t>
  </si>
  <si>
    <t>AUTBPAME@gmail.com</t>
  </si>
  <si>
    <t>מייקל</t>
  </si>
  <si>
    <t>קלושנר</t>
  </si>
  <si>
    <t>TUTUU7@yahoo.com</t>
  </si>
  <si>
    <t>אפרת</t>
  </si>
  <si>
    <t>שטיין</t>
  </si>
  <si>
    <t>PADI5@yahoo.com</t>
  </si>
  <si>
    <t>אשר</t>
  </si>
  <si>
    <t>בנימיני</t>
  </si>
  <si>
    <t>WTUUETX@gmail.com</t>
  </si>
  <si>
    <t xml:space="preserve">תאי עזר לשאלה 1ב- </t>
  </si>
  <si>
    <t>תא עזר לחישוב משכרת שנתית ממוצעת (שאלה 4ב)</t>
  </si>
  <si>
    <t>כרמית</t>
  </si>
  <si>
    <t>TUKU7K@yahoo.com</t>
  </si>
  <si>
    <t>הילה</t>
  </si>
  <si>
    <t>אהרוני</t>
  </si>
  <si>
    <t>GT67JK@yahoo.com</t>
  </si>
  <si>
    <t>אוהד</t>
  </si>
  <si>
    <t>בן משה</t>
  </si>
  <si>
    <t>YACM@hotmail.com</t>
  </si>
  <si>
    <t>יהונתן</t>
  </si>
  <si>
    <t>ארייב</t>
  </si>
  <si>
    <t>TAB@hotmail.com</t>
  </si>
  <si>
    <t>ניר</t>
  </si>
  <si>
    <t>בן שטרית</t>
  </si>
  <si>
    <t>HRNFSEKR@gmail.com</t>
  </si>
  <si>
    <t>מיכאלה</t>
  </si>
  <si>
    <t>בן דרור</t>
  </si>
  <si>
    <t>TIMO5GH@yahoo.com</t>
  </si>
  <si>
    <t>עציץ</t>
  </si>
  <si>
    <t>BEXLDPPA11@ynet.co.il</t>
  </si>
  <si>
    <t>מיכאל</t>
  </si>
  <si>
    <t>דוידוביץ</t>
  </si>
  <si>
    <t>EAUDGT@colman.ac.il</t>
  </si>
  <si>
    <t>דניאלה</t>
  </si>
  <si>
    <t>חיון</t>
  </si>
  <si>
    <t>ACDC1@ynet.co.il</t>
  </si>
  <si>
    <t>ליטל</t>
  </si>
  <si>
    <t>הלוי</t>
  </si>
  <si>
    <t>GH77JK@yahoo.com</t>
  </si>
  <si>
    <t>אדווה</t>
  </si>
  <si>
    <t>לוין</t>
  </si>
  <si>
    <t>XIJDGGVC@gmail.com</t>
  </si>
  <si>
    <t>שרון</t>
  </si>
  <si>
    <t>הווארד</t>
  </si>
  <si>
    <t>RV7HQO33@ynet.co.il</t>
  </si>
  <si>
    <t>יוני</t>
  </si>
  <si>
    <t>ניסים</t>
  </si>
  <si>
    <t>KIEAUDGT@colman.ac.il</t>
  </si>
  <si>
    <t>אורנה</t>
  </si>
  <si>
    <t>יצחקי</t>
  </si>
  <si>
    <t>YIDOJL@gmail.com</t>
  </si>
  <si>
    <t>חני</t>
  </si>
  <si>
    <t>לבקוביץ</t>
  </si>
  <si>
    <t>MYG66YU@colman.ac.il</t>
  </si>
  <si>
    <t>לילך</t>
  </si>
  <si>
    <t>סונין</t>
  </si>
  <si>
    <t>GGHH77JK@yahoo.com</t>
  </si>
  <si>
    <t>אלון</t>
  </si>
  <si>
    <t>סוטון</t>
  </si>
  <si>
    <t>ELVLSUAM@gmail.com</t>
  </si>
  <si>
    <t>שער האירו</t>
  </si>
  <si>
    <t>ממוצע חודשי ותק</t>
  </si>
  <si>
    <t>רוית</t>
  </si>
  <si>
    <t>ישראל</t>
  </si>
  <si>
    <t>RAV77@ynet.co.il</t>
  </si>
  <si>
    <t xml:space="preserve">שאלה 2 ב- </t>
  </si>
  <si>
    <t>&lt;=23</t>
  </si>
  <si>
    <t>&gt;=18</t>
  </si>
  <si>
    <t>&gt;5000</t>
  </si>
  <si>
    <t>&gt;63.0857142857143</t>
  </si>
  <si>
    <t>ממועד ב 2025</t>
  </si>
  <si>
    <t>בשנת 2025 ביום העשירי בחודש הקודם</t>
  </si>
  <si>
    <t>שש שנים לאחר ההצטרפות וביום האחרון</t>
  </si>
  <si>
    <t>פתרון סופי רועי</t>
  </si>
  <si>
    <t>משכורת חודשית ממוצעת בש"ח</t>
  </si>
  <si>
    <t>ממוצע חודשי הותק</t>
  </si>
  <si>
    <t>&gt;63.08</t>
  </si>
  <si>
    <t>&gt;=01/01/2010</t>
  </si>
  <si>
    <t>&lt;=31/12/2019</t>
  </si>
  <si>
    <t>מספר משקיע</t>
  </si>
  <si>
    <t>שם המשקיע</t>
  </si>
  <si>
    <t>מעמד משקיע</t>
  </si>
  <si>
    <t>תחילת ההשקעה</t>
  </si>
  <si>
    <t>סכום השקעה ראשוני</t>
  </si>
  <si>
    <t>קרן השקעה</t>
  </si>
  <si>
    <t>דמי ניהול</t>
  </si>
  <si>
    <t>ערך השקעה נכון ליום 31/12/21</t>
  </si>
  <si>
    <t>גידול השקעה בשקלים</t>
  </si>
  <si>
    <t>ערך השקעה לסוף שנת 2022</t>
  </si>
  <si>
    <t>שווי מס מכירה בשקלים</t>
  </si>
  <si>
    <t>שם חודש תחילת השקעה במלל</t>
  </si>
  <si>
    <t>תאריך ביקורת דוחות</t>
  </si>
  <si>
    <t>מתנה למשקיע</t>
  </si>
  <si>
    <t>מתנה למשקיעים</t>
  </si>
  <si>
    <t>NI</t>
  </si>
  <si>
    <t>שכיר</t>
  </si>
  <si>
    <t>תנאי 1</t>
  </si>
  <si>
    <t>KF</t>
  </si>
  <si>
    <t>עצמאי</t>
  </si>
  <si>
    <t>CC</t>
  </si>
  <si>
    <t>חופשה באילת</t>
  </si>
  <si>
    <t>BJ</t>
  </si>
  <si>
    <t>DE</t>
  </si>
  <si>
    <t>BP</t>
  </si>
  <si>
    <t>CK</t>
  </si>
  <si>
    <t>תנאי 2</t>
  </si>
  <si>
    <t>JK</t>
  </si>
  <si>
    <t>DJ</t>
  </si>
  <si>
    <t>כרטיס להופעה</t>
  </si>
  <si>
    <t>LB</t>
  </si>
  <si>
    <t>בעל שליטה</t>
  </si>
  <si>
    <t>LM</t>
  </si>
  <si>
    <t>BK</t>
  </si>
  <si>
    <t>כל יתר המשקיעים:</t>
  </si>
  <si>
    <t>DK</t>
  </si>
  <si>
    <t>ללא מתנה</t>
  </si>
  <si>
    <t>KL</t>
  </si>
  <si>
    <t>NE</t>
  </si>
  <si>
    <t>MK</t>
  </si>
  <si>
    <t>OI</t>
  </si>
  <si>
    <t>FD</t>
  </si>
  <si>
    <t>KD</t>
  </si>
  <si>
    <t>EL</t>
  </si>
  <si>
    <t>KK</t>
  </si>
  <si>
    <t>MC</t>
  </si>
  <si>
    <t>FJ</t>
  </si>
  <si>
    <t>AI</t>
  </si>
  <si>
    <t>GI</t>
  </si>
  <si>
    <t>חופשה בפריז</t>
  </si>
  <si>
    <t>סט סירים</t>
  </si>
  <si>
    <t>תווי קניה</t>
  </si>
  <si>
    <t>תווי קנייה</t>
  </si>
  <si>
    <t xml:space="preserve">סכום השקעה </t>
  </si>
  <si>
    <t>דמי ניהול מחושב</t>
  </si>
  <si>
    <t>ערך השקעה נכון להיום</t>
  </si>
  <si>
    <t>דוגמה נוספת</t>
  </si>
  <si>
    <t>קוד לקוח</t>
  </si>
  <si>
    <t>תאריך התקשרות עם לקוח</t>
  </si>
  <si>
    <t>שם לקוח</t>
  </si>
  <si>
    <t>שם איש הקשר</t>
  </si>
  <si>
    <t>עיר</t>
  </si>
  <si>
    <t>תפקיד איש הקשר</t>
  </si>
  <si>
    <t>סטטוס</t>
  </si>
  <si>
    <t>הנחת לקוח</t>
  </si>
  <si>
    <t>הכנסה שנתית מלקוח</t>
  </si>
  <si>
    <t>שכר</t>
  </si>
  <si>
    <t>רבעון התקשרות</t>
  </si>
  <si>
    <t>הטבת לקוח לחורף</t>
  </si>
  <si>
    <t>תאריך סיום התקשרות</t>
  </si>
  <si>
    <t>יום סיום התקשרות</t>
  </si>
  <si>
    <t>CU0010</t>
  </si>
  <si>
    <t>אלון בן סלומון</t>
  </si>
  <si>
    <t>אנליסט</t>
  </si>
  <si>
    <t>קבוע</t>
  </si>
  <si>
    <t>CU0011</t>
  </si>
  <si>
    <t>עמרי רווח</t>
  </si>
  <si>
    <t>שותף ניהול</t>
  </si>
  <si>
    <t>מזדמן</t>
  </si>
  <si>
    <t>CU0012</t>
  </si>
  <si>
    <t>שלי הרן</t>
  </si>
  <si>
    <t>חולון</t>
  </si>
  <si>
    <t>מנכ"ל</t>
  </si>
  <si>
    <t>CU0013</t>
  </si>
  <si>
    <t>דנה דבורין</t>
  </si>
  <si>
    <t>יועץ</t>
  </si>
  <si>
    <t>CU0014</t>
  </si>
  <si>
    <t>חני נחמיאס</t>
  </si>
  <si>
    <t>רחובות</t>
  </si>
  <si>
    <t>מנהל מחלקת רכש</t>
  </si>
  <si>
    <t>CU0015</t>
  </si>
  <si>
    <t>יעל כהן</t>
  </si>
  <si>
    <t>נס-ציונה</t>
  </si>
  <si>
    <t>מנהל</t>
  </si>
  <si>
    <t>CU0016</t>
  </si>
  <si>
    <t>ניצן אלון</t>
  </si>
  <si>
    <t>רכש בכיר</t>
  </si>
  <si>
    <t>CU0017</t>
  </si>
  <si>
    <t>אודי יגאנה</t>
  </si>
  <si>
    <t>הרצליה</t>
  </si>
  <si>
    <t>VIP</t>
  </si>
  <si>
    <t>CU0018</t>
  </si>
  <si>
    <t>שי לוי</t>
  </si>
  <si>
    <t>יבנה</t>
  </si>
  <si>
    <t>CU0019</t>
  </si>
  <si>
    <t>אורן רוטשטיין</t>
  </si>
  <si>
    <t>CU0020</t>
  </si>
  <si>
    <t>אלעד מרוש</t>
  </si>
  <si>
    <t>CU0021</t>
  </si>
  <si>
    <t>ענת ינקוסיץ</t>
  </si>
  <si>
    <t>CU0022</t>
  </si>
  <si>
    <t>מתן הראל</t>
  </si>
  <si>
    <t>שלבים:</t>
  </si>
  <si>
    <t>CU0023</t>
  </si>
  <si>
    <t>יוסי כהן</t>
  </si>
  <si>
    <r>
      <t>זיהוי: יהיה רשום: בגיליון חדש "</t>
    </r>
    <r>
      <rPr>
        <sz val="14"/>
        <color rgb="FFFF0000"/>
        <rFont val="Calibri"/>
        <family val="2"/>
      </rPr>
      <t>צור דו"ח</t>
    </r>
    <r>
      <rPr>
        <sz val="14"/>
        <color theme="1"/>
        <rFont val="Calibri"/>
        <family val="2"/>
      </rPr>
      <t>" או "</t>
    </r>
    <r>
      <rPr>
        <sz val="14"/>
        <color rgb="FFFF0000"/>
        <rFont val="Calibri"/>
        <family val="2"/>
      </rPr>
      <t>רשימה חדשה</t>
    </r>
    <r>
      <rPr>
        <sz val="14"/>
        <color theme="1"/>
        <rFont val="Calibri"/>
        <family val="2"/>
      </rPr>
      <t>" וגם</t>
    </r>
    <r>
      <rPr>
        <sz val="14"/>
        <color rgb="FFFF0000"/>
        <rFont val="Calibri"/>
        <family val="2"/>
      </rPr>
      <t xml:space="preserve"> יתנו קריטריונים</t>
    </r>
  </si>
  <si>
    <t>CU0024</t>
  </si>
  <si>
    <t>מיכל יוגב</t>
  </si>
  <si>
    <t>לרוב הרשימה החדשה תכיל רק חלק מהכותרות שהיו בטבלה המקורית</t>
  </si>
  <si>
    <t>CU0025</t>
  </si>
  <si>
    <t>בתיה בירמן</t>
  </si>
  <si>
    <t>CU0026</t>
  </si>
  <si>
    <t>שלום אלפסי</t>
  </si>
  <si>
    <t>CU0027</t>
  </si>
  <si>
    <t>ליבי-ים יגאנה</t>
  </si>
  <si>
    <r>
      <rPr>
        <sz val="14"/>
        <color rgb="FF00B0F0"/>
        <rFont val="Calibri"/>
        <family val="2"/>
      </rPr>
      <t>בגיליון החדש,</t>
    </r>
    <r>
      <rPr>
        <sz val="14"/>
        <color theme="1"/>
        <rFont val="Calibri"/>
        <family val="2"/>
      </rPr>
      <t xml:space="preserve"> נכין את טבלת הקריטריונים ונקפיד על כותרות, כאשר:</t>
    </r>
  </si>
  <si>
    <t>CU0028</t>
  </si>
  <si>
    <t>לביא אברמוביץ</t>
  </si>
  <si>
    <t>וגם: אותה שורה      או: שורות נפרדות</t>
  </si>
  <si>
    <t>CU0029</t>
  </si>
  <si>
    <t>גיא דויטש</t>
  </si>
  <si>
    <t>CU0030</t>
  </si>
  <si>
    <t>יאיר קשטכר</t>
  </si>
  <si>
    <t>נפתח גיליון חדש עם השם שביקשו, אשר יכיל רק את הכותרות שביקשו שיהיו בו</t>
  </si>
  <si>
    <t>CU0031</t>
  </si>
  <si>
    <t>דקלה טויטו</t>
  </si>
  <si>
    <t>CU0032</t>
  </si>
  <si>
    <t>אברהם בנימין</t>
  </si>
  <si>
    <r>
      <rPr>
        <sz val="14"/>
        <color rgb="FF00B0F0"/>
        <rFont val="Calibri"/>
        <family val="2"/>
      </rPr>
      <t>כשאנו בגיליון החדש:</t>
    </r>
    <r>
      <rPr>
        <sz val="14"/>
        <color theme="1"/>
        <rFont val="Calibri"/>
        <family val="2"/>
      </rPr>
      <t xml:space="preserve"> לשונית "נתונים", "מתקדם", נסמן תמיד "העתק למיקום אחר" ונמלא:</t>
    </r>
  </si>
  <si>
    <t>CU0033</t>
  </si>
  <si>
    <t>דורון קטן</t>
  </si>
  <si>
    <t>קרית אתא</t>
  </si>
  <si>
    <t>CU0034</t>
  </si>
  <si>
    <t>לישי מקסוול</t>
  </si>
  <si>
    <t>כל טבלת הנתונים המקורית, עם כותרות</t>
  </si>
  <si>
    <t>טווח רשימה</t>
  </si>
  <si>
    <t>CU0035</t>
  </si>
  <si>
    <t>LL</t>
  </si>
  <si>
    <t>דקל אדם</t>
  </si>
  <si>
    <t>CU0036</t>
  </si>
  <si>
    <t>BB</t>
  </si>
  <si>
    <t>ליריינה סופיה</t>
  </si>
  <si>
    <t>טבלת הקריטריונים שהכנו- עם כותרות</t>
  </si>
  <si>
    <t>טווח קריטריונים</t>
  </si>
  <si>
    <t>הכותרות שייכללו בגיליון החדש שפתחתנו (משלב 3)</t>
  </si>
  <si>
    <t>העתק אל</t>
  </si>
  <si>
    <t>רבעון 2</t>
  </si>
  <si>
    <t>ייקבע מועד אחר</t>
  </si>
  <si>
    <t>חודש</t>
  </si>
  <si>
    <t>רבעון</t>
  </si>
  <si>
    <t>רבעון 1</t>
  </si>
  <si>
    <t>רבעון 3</t>
  </si>
  <si>
    <t>רבעון 4</t>
  </si>
  <si>
    <t>שם פרטי לקוח</t>
  </si>
  <si>
    <t>שם משפחה לקוח</t>
  </si>
  <si>
    <t>עיר מגורים לקוח</t>
  </si>
  <si>
    <t>תאריך התקשרות</t>
  </si>
  <si>
    <t>הכנסות מצטברות</t>
  </si>
  <si>
    <t>סיבת התקשרות</t>
  </si>
  <si>
    <t>הכנסה מצטברת נטו</t>
  </si>
  <si>
    <t>סיום התקשרות</t>
  </si>
  <si>
    <t>סה"כ הכנסה נטו מצטברת ב-$</t>
  </si>
  <si>
    <t>לירוי</t>
  </si>
  <si>
    <t>מירון</t>
  </si>
  <si>
    <t>הגשת דוחות</t>
  </si>
  <si>
    <t>זינה</t>
  </si>
  <si>
    <t>ברקת</t>
  </si>
  <si>
    <t>מס</t>
  </si>
  <si>
    <t>אביתר</t>
  </si>
  <si>
    <t>עמאש</t>
  </si>
  <si>
    <t>פקיעין חדשה</t>
  </si>
  <si>
    <t>ביקורת שנתית</t>
  </si>
  <si>
    <t>שמעון</t>
  </si>
  <si>
    <t>חלפון</t>
  </si>
  <si>
    <t>העוגן</t>
  </si>
  <si>
    <t>ייעוץ פיננסי</t>
  </si>
  <si>
    <t>אדל</t>
  </si>
  <si>
    <t>חסן</t>
  </si>
  <si>
    <t>ורד יריחו</t>
  </si>
  <si>
    <t>נעמה</t>
  </si>
  <si>
    <t>אברמוב</t>
  </si>
  <si>
    <t>הסוללים</t>
  </si>
  <si>
    <t>הכנת משכורות</t>
  </si>
  <si>
    <t>נויה</t>
  </si>
  <si>
    <t>שומרה</t>
  </si>
  <si>
    <t>עילאי</t>
  </si>
  <si>
    <t>מור</t>
  </si>
  <si>
    <t>סגולה</t>
  </si>
  <si>
    <t>שחר</t>
  </si>
  <si>
    <t>צורית</t>
  </si>
  <si>
    <t>גור</t>
  </si>
  <si>
    <t>רחמים</t>
  </si>
  <si>
    <t>אודם</t>
  </si>
  <si>
    <t>יותם</t>
  </si>
  <si>
    <t>איסקוב</t>
  </si>
  <si>
    <t>אל סייד</t>
  </si>
  <si>
    <t>רות</t>
  </si>
  <si>
    <t>פלדמן</t>
  </si>
  <si>
    <t>בית חנניה</t>
  </si>
  <si>
    <t>Friday</t>
  </si>
  <si>
    <t>מועד ההתקשרות יחל בתחילת השבוע</t>
  </si>
  <si>
    <t>אמיר</t>
  </si>
  <si>
    <t>הראל</t>
  </si>
  <si>
    <t>Saturday</t>
  </si>
  <si>
    <t>מוחמד</t>
  </si>
  <si>
    <t>חדד</t>
  </si>
  <si>
    <t>פוריה - נווה עובד</t>
  </si>
  <si>
    <t>תמר</t>
  </si>
  <si>
    <t>סבח</t>
  </si>
  <si>
    <t>מעונה</t>
  </si>
  <si>
    <t>אנא פנה בדחיפות לחברה</t>
  </si>
  <si>
    <t>ראובן</t>
  </si>
  <si>
    <t>צפרירים</t>
  </si>
  <si>
    <t>נועה</t>
  </si>
  <si>
    <t>ג'בארין</t>
  </si>
  <si>
    <t>אדם</t>
  </si>
  <si>
    <t>אטיאס</t>
  </si>
  <si>
    <t>עספיא</t>
  </si>
  <si>
    <t>רחל</t>
  </si>
  <si>
    <t>דנינו</t>
  </si>
  <si>
    <t>שגיא</t>
  </si>
  <si>
    <t>גבעת כ"ח</t>
  </si>
  <si>
    <t>עזרן</t>
  </si>
  <si>
    <t>שאם</t>
  </si>
  <si>
    <t>סואעד</t>
  </si>
  <si>
    <t>דוב"ב</t>
  </si>
  <si>
    <t>משמר העמק</t>
  </si>
  <si>
    <t>בן עזרא</t>
  </si>
  <si>
    <t>פוריידיס</t>
  </si>
  <si>
    <t>רפאל</t>
  </si>
  <si>
    <t>אברהם</t>
  </si>
  <si>
    <t>כסלון</t>
  </si>
  <si>
    <t>מג'ד</t>
  </si>
  <si>
    <t>ארביב</t>
  </si>
  <si>
    <t>נתיב השיירה</t>
  </si>
  <si>
    <t>מיסוי</t>
  </si>
  <si>
    <t>אלמא</t>
  </si>
  <si>
    <t>קאסם</t>
  </si>
  <si>
    <t>&lt;1/1/2023</t>
  </si>
  <si>
    <t>עמית</t>
  </si>
  <si>
    <t>ברזילי</t>
  </si>
  <si>
    <t>תלמי אליהו</t>
  </si>
  <si>
    <t>שרביט</t>
  </si>
  <si>
    <t>חשמונאים</t>
  </si>
  <si>
    <t>נהוראי</t>
  </si>
  <si>
    <t>הר אדר</t>
  </si>
  <si>
    <t>עלמה</t>
  </si>
  <si>
    <t>הררי</t>
  </si>
  <si>
    <t>טל-אל</t>
  </si>
  <si>
    <t>נחמן</t>
  </si>
  <si>
    <t>חדאד</t>
  </si>
  <si>
    <t>סך ההכנסה נטו מהלקוחות שעונים לתנאים :</t>
  </si>
  <si>
    <t>איילה</t>
  </si>
  <si>
    <t>קרן</t>
  </si>
  <si>
    <t>נירן</t>
  </si>
  <si>
    <t>מספר הלקוחחות שעונים לתנאים :</t>
  </si>
  <si>
    <t>טאהא</t>
  </si>
  <si>
    <t>עין השופט</t>
  </si>
  <si>
    <t>מחמוד</t>
  </si>
  <si>
    <t>אביחיל</t>
  </si>
  <si>
    <t>אורין</t>
  </si>
  <si>
    <t>אבו ריא</t>
  </si>
  <si>
    <t>נטע</t>
  </si>
  <si>
    <t>שמואל</t>
  </si>
  <si>
    <t>זכריה</t>
  </si>
  <si>
    <t>מרחביה</t>
  </si>
  <si>
    <t>כפר מסריק</t>
  </si>
  <si>
    <t>מדר</t>
  </si>
  <si>
    <t>דמרי</t>
  </si>
  <si>
    <t>הודיה</t>
  </si>
  <si>
    <t>עמליה</t>
  </si>
  <si>
    <t>סבג</t>
  </si>
  <si>
    <t>סה"כ הכנסה נטו בדולים לעומדים בתנאים :</t>
  </si>
  <si>
    <t>ליהי</t>
  </si>
  <si>
    <t>גרוס</t>
  </si>
  <si>
    <t>ביטון</t>
  </si>
  <si>
    <t>עזר</t>
  </si>
  <si>
    <t>עבד</t>
  </si>
  <si>
    <t>נוימן</t>
  </si>
  <si>
    <t>אריאל</t>
  </si>
  <si>
    <t>גונן</t>
  </si>
  <si>
    <t>דניאל</t>
  </si>
  <si>
    <t>סויסה</t>
  </si>
  <si>
    <t>שתולים</t>
  </si>
  <si>
    <t>שלו</t>
  </si>
  <si>
    <t>מרעי</t>
  </si>
  <si>
    <t>עמוקה</t>
  </si>
  <si>
    <t>סה"כ הכנזה נטו</t>
  </si>
  <si>
    <t>כמות לקוחות</t>
  </si>
  <si>
    <t>סיבת התקשרות מינימלית</t>
  </si>
  <si>
    <t>שכר באירו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</si>
</sst>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8" formatCode="&quot;₪&quot;\ #,##0.00;[Red]&quot;₪&quot;\ \-#,##0.00"/>
    <numFmt numFmtId="44" formatCode="_ &quot;₪&quot;\ * #,##0.00_ ;_ &quot;₪&quot;\ * \-#,##0.00_ ;_ &quot;₪&quot;\ * &quot;-&quot;??_ ;_ @_ "/>
    <numFmt numFmtId="43" formatCode="_ * #,##0.00_ ;_ * \-#,##0.00_ ;_ * &quot;-&quot;??_ ;_ @_ "/>
    <numFmt numFmtId="164" formatCode="_ [$₪-40D]\ * #,##0_ ;_ [$₪-40D]\ * \-#,##0_ ;_ [$₪-40D]\ * &quot;-&quot;??_ ;_ @_ "/>
    <numFmt numFmtId="165" formatCode="_ * #,##0_ ;_ * \-#,##0_ ;_ * &quot;-&quot;??_ ;_ @_ "/>
    <numFmt numFmtId="166" formatCode="[$$-C09]#,##0.0"/>
    <numFmt numFmtId="167" formatCode="&quot;₪&quot;\ #,##0"/>
    <numFmt numFmtId="168" formatCode="&quot;₪&quot;\ #,##0.00"/>
    <numFmt numFmtId="169" formatCode="_-[$$-409]* #,##0.00_ ;_-[$$-409]* \-#,##0.00\ ;_-[$$-409]* &quot;-&quot;??_ ;_-@_ "/>
    <numFmt numFmtId="170" formatCode="_ [$₪-40D]\ * #,##0.00_ ;_ [$₪-40D]\ * \-#,##0.00_ ;_ [$₪-40D]\ * &quot;-&quot;??_ ;_ @_ "/>
    <numFmt numFmtId="171" formatCode="#,##0_ ;\-#,##0\ "/>
    <numFmt numFmtId="172" formatCode="_ &quot;₪&quot;\ * #,##0_ ;_ &quot;₪&quot;\ * \-#,##0_ ;_ &quot;₪&quot;\ * &quot;-&quot;??_ ;_ @_ "/>
    <numFmt numFmtId="173" formatCode="_ [$€-2]\ * #,##0_ ;_ [$€-2]\ * \-#,##0_ ;_ [$€-2]\ * &quot;-&quot;??_ ;_ @_ "/>
    <numFmt numFmtId="174" formatCode="0.0000"/>
    <numFmt numFmtId="175" formatCode="_ [$₪-40D]\ * #,##0.0_ ;_ [$₪-40D]\ * \-#,##0.0_ ;_ [$₪-40D]\ * &quot;-&quot;??_ ;_ @_ "/>
    <numFmt numFmtId="176" formatCode="_-[$$-409]* #,##0_ ;_-[$$-409]* \-#,##0\ ;_-[$$-409]* &quot;-&quot;??_ ;_-@_ "/>
    <numFmt numFmtId="177" formatCode="_)@"/>
    <numFmt numFmtId="178" formatCode="_-* #,##0.00_-;\-* #,##0.00_-;_-* &quot;-&quot;??_-;_-@_-"/>
    <numFmt numFmtId="179" formatCode="_-* #,##0_-;\-* #,##0_-;_-* &quot;-&quot;??_-;_-@_-"/>
  </numFmts>
  <fonts count="4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charset val="177"/>
    </font>
    <font>
      <sz val="11"/>
      <color theme="1"/>
      <name val="Arial"/>
      <family val="2"/>
      <charset val="177"/>
      <scheme val="minor"/>
    </font>
    <font>
      <b/>
      <sz val="11"/>
      <color theme="1"/>
      <name val="Arial"/>
      <family val="2"/>
      <scheme val="minor"/>
    </font>
    <font>
      <sz val="11"/>
      <color theme="1"/>
      <name val="David"/>
      <family val="2"/>
      <charset val="177"/>
    </font>
    <font>
      <sz val="10"/>
      <name val="Arial"/>
      <family val="2"/>
    </font>
    <font>
      <b/>
      <u/>
      <sz val="12"/>
      <name val="David"/>
      <family val="2"/>
      <charset val="177"/>
    </font>
    <font>
      <b/>
      <sz val="12"/>
      <name val="David"/>
      <family val="2"/>
      <charset val="177"/>
    </font>
    <font>
      <sz val="11"/>
      <name val="David"/>
      <family val="2"/>
      <charset val="177"/>
    </font>
    <font>
      <sz val="12"/>
      <name val="David"/>
      <family val="2"/>
      <charset val="177"/>
    </font>
    <font>
      <sz val="12"/>
      <name val="Arial"/>
      <family val="2"/>
    </font>
    <font>
      <b/>
      <sz val="12"/>
      <name val="David"/>
      <family val="2"/>
    </font>
    <font>
      <b/>
      <u/>
      <sz val="11"/>
      <color theme="1"/>
      <name val="Arial"/>
      <family val="2"/>
      <scheme val="minor"/>
    </font>
    <font>
      <sz val="8"/>
      <name val="Arial"/>
      <family val="2"/>
      <scheme val="minor"/>
    </font>
    <font>
      <b/>
      <sz val="11"/>
      <color theme="0"/>
      <name val="Arial"/>
      <family val="2"/>
      <scheme val="minor"/>
    </font>
    <font>
      <sz val="11"/>
      <color rgb="FF00B050"/>
      <name val="Arial"/>
      <family val="2"/>
      <scheme val="minor"/>
    </font>
    <font>
      <sz val="11"/>
      <color rgb="FF00B0F0"/>
      <name val="Arial"/>
      <family val="2"/>
      <scheme val="minor"/>
    </font>
    <font>
      <sz val="11"/>
      <color theme="0"/>
      <name val="Arial"/>
      <family val="2"/>
      <scheme val="minor"/>
    </font>
    <font>
      <sz val="11"/>
      <color theme="1"/>
      <name val="Calibri"/>
      <family val="2"/>
    </font>
    <font>
      <sz val="24"/>
      <color theme="1"/>
      <name val="Arial"/>
      <family val="2"/>
      <charset val="177"/>
      <scheme val="minor"/>
    </font>
    <font>
      <sz val="16"/>
      <color theme="1"/>
      <name val="Calibri"/>
      <family val="2"/>
    </font>
    <font>
      <sz val="14"/>
      <color theme="1"/>
      <name val="Calibri"/>
      <family val="2"/>
    </font>
    <font>
      <b/>
      <sz val="12"/>
      <color rgb="FF00B050"/>
      <name val="Calibri"/>
      <family val="2"/>
    </font>
    <font>
      <b/>
      <sz val="12"/>
      <name val="Calibri"/>
      <family val="2"/>
    </font>
    <font>
      <b/>
      <sz val="12"/>
      <color rgb="FFFF0000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u/>
      <sz val="12"/>
      <color theme="1"/>
      <name val="Calibri"/>
      <family val="2"/>
    </font>
    <font>
      <sz val="12"/>
      <name val="Calibri"/>
      <family val="2"/>
    </font>
    <font>
      <b/>
      <u/>
      <sz val="18"/>
      <color theme="1"/>
      <name val="Calibri"/>
      <family val="2"/>
    </font>
    <font>
      <sz val="14"/>
      <color rgb="FFFF0000"/>
      <name val="Calibri"/>
      <family val="2"/>
    </font>
    <font>
      <sz val="14"/>
      <color rgb="FF00B0F0"/>
      <name val="Calibri"/>
      <family val="2"/>
    </font>
    <font>
      <b/>
      <u val="singleAccounting"/>
      <sz val="12"/>
      <color theme="1"/>
      <name val="Calibri"/>
      <family val="2"/>
    </font>
    <font>
      <b/>
      <u/>
      <sz val="12"/>
      <name val="Calibri"/>
      <family val="2"/>
    </font>
    <font>
      <u val="singleAccounting"/>
      <sz val="12"/>
      <color theme="1"/>
      <name val="Calibri"/>
      <family val="2"/>
    </font>
    <font>
      <b/>
      <u/>
      <sz val="12"/>
      <color theme="1"/>
      <name val="David"/>
      <family val="2"/>
    </font>
    <font>
      <sz val="12"/>
      <color theme="1"/>
      <name val="David"/>
      <family val="2"/>
    </font>
    <font>
      <u/>
      <sz val="11"/>
      <color theme="0"/>
      <name val="Arial"/>
      <family val="2"/>
      <scheme val="minor"/>
    </font>
    <font>
      <sz val="12"/>
      <color theme="0"/>
      <name val="David"/>
      <family val="2"/>
      <charset val="177"/>
    </font>
    <font>
      <sz val="12"/>
      <color theme="0"/>
      <name val="Arial"/>
      <family val="2"/>
      <charset val="177"/>
    </font>
    <font>
      <b/>
      <u/>
      <sz val="12"/>
      <color theme="0"/>
      <name val="David"/>
      <family val="2"/>
    </font>
    <font>
      <sz val="12"/>
      <color theme="0"/>
      <name val="David"/>
      <family val="2"/>
    </font>
    <font>
      <sz val="11"/>
      <color theme="0"/>
      <name val="Arial"/>
      <family val="2"/>
      <charset val="177"/>
      <scheme val="minor"/>
    </font>
    <font>
      <b/>
      <u/>
      <sz val="11"/>
      <color theme="0"/>
      <name val="Arial"/>
      <family val="2"/>
      <scheme val="minor"/>
    </font>
    <font>
      <b/>
      <sz val="11"/>
      <color theme="0"/>
      <name val="Calibri"/>
      <family val="2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DBFED6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D8F4FC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4">
    <xf numFmtId="0" fontId="0" fillId="0" borderId="0"/>
    <xf numFmtId="44" fontId="1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6" fillId="0" borderId="0"/>
    <xf numFmtId="0" fontId="9" fillId="0" borderId="0"/>
    <xf numFmtId="9" fontId="6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178" fontId="1" fillId="0" borderId="0" applyFont="0" applyFill="0" applyBorder="0" applyAlignment="0" applyProtection="0"/>
  </cellStyleXfs>
  <cellXfs count="261">
    <xf numFmtId="0" fontId="0" fillId="0" borderId="0" xfId="0"/>
    <xf numFmtId="0" fontId="4" fillId="0" borderId="0" xfId="2" applyFont="1" applyAlignment="1">
      <alignment horizontal="center" vertical="center" wrapText="1" readingOrder="2"/>
    </xf>
    <xf numFmtId="0" fontId="4" fillId="0" borderId="0" xfId="2" applyFont="1" applyAlignment="1">
      <alignment horizontal="center" wrapText="1" readingOrder="2"/>
    </xf>
    <xf numFmtId="0" fontId="3" fillId="0" borderId="0" xfId="2"/>
    <xf numFmtId="0" fontId="1" fillId="0" borderId="0" xfId="2" applyFont="1"/>
    <xf numFmtId="0" fontId="1" fillId="0" borderId="0" xfId="2" applyFont="1" applyAlignment="1">
      <alignment horizontal="right" vertical="center" wrapText="1" readingOrder="2"/>
    </xf>
    <xf numFmtId="0" fontId="1" fillId="0" borderId="0" xfId="2" applyFont="1" applyAlignment="1">
      <alignment horizontal="right"/>
    </xf>
    <xf numFmtId="14" fontId="1" fillId="0" borderId="0" xfId="2" applyNumberFormat="1" applyFont="1"/>
    <xf numFmtId="14" fontId="1" fillId="0" borderId="0" xfId="2" applyNumberFormat="1" applyFont="1" applyAlignment="1">
      <alignment horizontal="center"/>
    </xf>
    <xf numFmtId="164" fontId="1" fillId="0" borderId="0" xfId="2" applyNumberFormat="1" applyFont="1"/>
    <xf numFmtId="164" fontId="3" fillId="0" borderId="0" xfId="2" applyNumberFormat="1"/>
    <xf numFmtId="14" fontId="3" fillId="0" borderId="0" xfId="2" applyNumberFormat="1"/>
    <xf numFmtId="1" fontId="3" fillId="0" borderId="0" xfId="2" applyNumberFormat="1"/>
    <xf numFmtId="165" fontId="0" fillId="0" borderId="0" xfId="3" applyNumberFormat="1" applyFont="1"/>
    <xf numFmtId="0" fontId="3" fillId="0" borderId="0" xfId="2" applyAlignment="1">
      <alignment horizontal="center"/>
    </xf>
    <xf numFmtId="0" fontId="5" fillId="0" borderId="0" xfId="2" applyFont="1" applyAlignment="1">
      <alignment horizontal="right"/>
    </xf>
    <xf numFmtId="0" fontId="3" fillId="0" borderId="0" xfId="2" applyAlignment="1">
      <alignment horizontal="right"/>
    </xf>
    <xf numFmtId="0" fontId="7" fillId="0" borderId="0" xfId="4" applyFont="1" applyAlignment="1">
      <alignment horizontal="center" vertical="center" wrapText="1"/>
    </xf>
    <xf numFmtId="0" fontId="10" fillId="0" borderId="0" xfId="5" applyFont="1" applyAlignment="1">
      <alignment horizontal="center" vertical="center" wrapText="1"/>
    </xf>
    <xf numFmtId="0" fontId="11" fillId="0" borderId="0" xfId="4" applyFont="1" applyAlignment="1">
      <alignment horizontal="center" vertical="center" wrapText="1"/>
    </xf>
    <xf numFmtId="0" fontId="10" fillId="0" borderId="0" xfId="4" applyFont="1"/>
    <xf numFmtId="166" fontId="10" fillId="0" borderId="0" xfId="4" applyNumberFormat="1" applyFont="1"/>
    <xf numFmtId="167" fontId="10" fillId="0" borderId="0" xfId="5" applyNumberFormat="1" applyFont="1"/>
    <xf numFmtId="168" fontId="10" fillId="0" borderId="0" xfId="5" applyNumberFormat="1" applyFont="1"/>
    <xf numFmtId="0" fontId="11" fillId="0" borderId="0" xfId="4" applyFont="1"/>
    <xf numFmtId="0" fontId="10" fillId="0" borderId="0" xfId="5" applyFont="1"/>
    <xf numFmtId="0" fontId="8" fillId="0" borderId="0" xfId="4" applyFont="1"/>
    <xf numFmtId="1" fontId="10" fillId="0" borderId="0" xfId="5" applyNumberFormat="1" applyFont="1"/>
    <xf numFmtId="8" fontId="10" fillId="0" borderId="0" xfId="5" applyNumberFormat="1" applyFont="1"/>
    <xf numFmtId="9" fontId="10" fillId="0" borderId="0" xfId="5" applyNumberFormat="1" applyFont="1"/>
    <xf numFmtId="44" fontId="10" fillId="0" borderId="0" xfId="1" applyFont="1"/>
    <xf numFmtId="169" fontId="10" fillId="0" borderId="0" xfId="5" applyNumberFormat="1" applyFont="1"/>
    <xf numFmtId="0" fontId="10" fillId="6" borderId="0" xfId="5" applyFont="1" applyFill="1" applyAlignment="1">
      <alignment horizontal="center" vertical="center" wrapText="1"/>
    </xf>
    <xf numFmtId="0" fontId="10" fillId="5" borderId="0" xfId="5" applyFont="1" applyFill="1" applyAlignment="1">
      <alignment horizontal="center" vertical="center" wrapText="1"/>
    </xf>
    <xf numFmtId="170" fontId="11" fillId="0" borderId="0" xfId="4" applyNumberFormat="1" applyFont="1"/>
    <xf numFmtId="0" fontId="10" fillId="4" borderId="0" xfId="5" applyFont="1" applyFill="1" applyAlignment="1">
      <alignment horizontal="center" vertical="center" wrapText="1"/>
    </xf>
    <xf numFmtId="168" fontId="11" fillId="0" borderId="0" xfId="4" applyNumberFormat="1" applyFont="1"/>
    <xf numFmtId="0" fontId="8" fillId="2" borderId="0" xfId="4" applyFont="1" applyFill="1" applyAlignment="1">
      <alignment horizontal="center" vertical="center" wrapText="1"/>
    </xf>
    <xf numFmtId="0" fontId="10" fillId="2" borderId="0" xfId="5" applyFont="1" applyFill="1" applyAlignment="1">
      <alignment horizontal="center" vertical="center" wrapText="1"/>
    </xf>
    <xf numFmtId="0" fontId="4" fillId="4" borderId="1" xfId="2" applyFont="1" applyFill="1" applyBorder="1" applyAlignment="1">
      <alignment horizontal="center" vertical="center" wrapText="1"/>
    </xf>
    <xf numFmtId="171" fontId="4" fillId="4" borderId="1" xfId="3" applyNumberFormat="1" applyFont="1" applyFill="1" applyBorder="1" applyAlignment="1">
      <alignment horizontal="center" vertical="center" wrapText="1"/>
    </xf>
    <xf numFmtId="0" fontId="4" fillId="4" borderId="2" xfId="2" applyFont="1" applyFill="1" applyBorder="1" applyAlignment="1">
      <alignment horizontal="center" vertical="center" wrapText="1"/>
    </xf>
    <xf numFmtId="14" fontId="3" fillId="0" borderId="0" xfId="2" applyNumberFormat="1" applyAlignment="1">
      <alignment horizontal="center" vertical="center"/>
    </xf>
    <xf numFmtId="171" fontId="0" fillId="0" borderId="0" xfId="3" applyNumberFormat="1" applyFont="1" applyAlignment="1">
      <alignment horizontal="center"/>
    </xf>
    <xf numFmtId="172" fontId="0" fillId="0" borderId="0" xfId="7" applyNumberFormat="1" applyFont="1" applyAlignment="1">
      <alignment horizontal="center"/>
    </xf>
    <xf numFmtId="172" fontId="0" fillId="0" borderId="0" xfId="7" applyNumberFormat="1" applyFont="1"/>
    <xf numFmtId="173" fontId="3" fillId="0" borderId="0" xfId="2" applyNumberFormat="1"/>
    <xf numFmtId="0" fontId="13" fillId="0" borderId="0" xfId="2" applyFont="1"/>
    <xf numFmtId="0" fontId="3" fillId="0" borderId="1" xfId="2" applyBorder="1"/>
    <xf numFmtId="0" fontId="2" fillId="0" borderId="0" xfId="2" applyFont="1" applyAlignment="1">
      <alignment horizontal="center"/>
    </xf>
    <xf numFmtId="14" fontId="2" fillId="0" borderId="0" xfId="2" applyNumberFormat="1" applyFont="1" applyAlignment="1">
      <alignment horizontal="center" vertical="center"/>
    </xf>
    <xf numFmtId="174" fontId="13" fillId="0" borderId="0" xfId="2" applyNumberFormat="1" applyFont="1"/>
    <xf numFmtId="14" fontId="3" fillId="0" borderId="0" xfId="2" applyNumberFormat="1" applyAlignment="1">
      <alignment horizontal="center"/>
    </xf>
    <xf numFmtId="0" fontId="4" fillId="8" borderId="0" xfId="2" applyFont="1" applyFill="1" applyAlignment="1">
      <alignment horizontal="center"/>
    </xf>
    <xf numFmtId="172" fontId="3" fillId="0" borderId="0" xfId="2" applyNumberFormat="1" applyAlignment="1">
      <alignment horizontal="center"/>
    </xf>
    <xf numFmtId="172" fontId="3" fillId="4" borderId="0" xfId="2" applyNumberFormat="1" applyFill="1" applyAlignment="1">
      <alignment horizontal="center"/>
    </xf>
    <xf numFmtId="1" fontId="3" fillId="7" borderId="0" xfId="2" applyNumberFormat="1" applyFill="1" applyAlignment="1">
      <alignment horizontal="center"/>
    </xf>
    <xf numFmtId="1" fontId="0" fillId="7" borderId="0" xfId="3" applyNumberFormat="1" applyFont="1" applyFill="1" applyAlignment="1">
      <alignment horizontal="center"/>
    </xf>
    <xf numFmtId="10" fontId="3" fillId="7" borderId="0" xfId="2" applyNumberFormat="1" applyFill="1" applyAlignment="1">
      <alignment horizontal="center"/>
    </xf>
    <xf numFmtId="175" fontId="3" fillId="0" borderId="0" xfId="2" applyNumberFormat="1" applyAlignment="1">
      <alignment horizontal="center"/>
    </xf>
    <xf numFmtId="175" fontId="0" fillId="0" borderId="0" xfId="3" applyNumberFormat="1" applyFont="1" applyAlignment="1">
      <alignment horizontal="center"/>
    </xf>
    <xf numFmtId="9" fontId="3" fillId="7" borderId="0" xfId="2" applyNumberFormat="1" applyFill="1" applyAlignment="1">
      <alignment horizontal="center"/>
    </xf>
    <xf numFmtId="0" fontId="4" fillId="2" borderId="1" xfId="2" applyFont="1" applyFill="1" applyBorder="1" applyAlignment="1">
      <alignment horizontal="center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3" borderId="2" xfId="2" applyFont="1" applyFill="1" applyBorder="1" applyAlignment="1">
      <alignment horizontal="center" vertical="center" wrapText="1"/>
    </xf>
    <xf numFmtId="0" fontId="4" fillId="6" borderId="2" xfId="2" applyFont="1" applyFill="1" applyBorder="1" applyAlignment="1">
      <alignment horizontal="center" vertical="center" wrapText="1"/>
    </xf>
    <xf numFmtId="0" fontId="4" fillId="8" borderId="1" xfId="2" applyFont="1" applyFill="1" applyBorder="1" applyAlignment="1">
      <alignment horizontal="center" vertical="center" wrapText="1"/>
    </xf>
    <xf numFmtId="0" fontId="4" fillId="9" borderId="1" xfId="2" applyFont="1" applyFill="1" applyBorder="1" applyAlignment="1">
      <alignment horizontal="center" vertical="center" wrapText="1"/>
    </xf>
    <xf numFmtId="171" fontId="4" fillId="0" borderId="1" xfId="3" applyNumberFormat="1" applyFont="1" applyFill="1" applyBorder="1" applyAlignment="1">
      <alignment horizontal="center" vertical="center" wrapText="1"/>
    </xf>
    <xf numFmtId="0" fontId="4" fillId="0" borderId="2" xfId="2" applyFont="1" applyBorder="1" applyAlignment="1">
      <alignment horizontal="center" vertical="center" wrapText="1"/>
    </xf>
    <xf numFmtId="0" fontId="4" fillId="10" borderId="2" xfId="2" applyFont="1" applyFill="1" applyBorder="1" applyAlignment="1">
      <alignment horizontal="center" vertical="center" wrapText="1"/>
    </xf>
    <xf numFmtId="0" fontId="4" fillId="11" borderId="1" xfId="2" applyFont="1" applyFill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" fillId="1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3" fontId="1" fillId="0" borderId="0" xfId="3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176" fontId="1" fillId="0" borderId="1" xfId="3" applyNumberFormat="1" applyFont="1" applyFill="1" applyBorder="1" applyAlignment="1">
      <alignment horizontal="center" vertical="center"/>
    </xf>
    <xf numFmtId="10" fontId="1" fillId="0" borderId="1" xfId="1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0" fontId="1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43" fontId="1" fillId="0" borderId="0" xfId="3" applyFont="1" applyFill="1" applyBorder="1" applyAlignment="1">
      <alignment horizontal="center" vertical="center"/>
    </xf>
    <xf numFmtId="176" fontId="1" fillId="0" borderId="0" xfId="3" applyNumberFormat="1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14" fontId="4" fillId="12" borderId="0" xfId="0" applyNumberFormat="1" applyFont="1" applyFill="1" applyAlignment="1">
      <alignment horizontal="center" vertical="center"/>
    </xf>
    <xf numFmtId="169" fontId="1" fillId="0" borderId="0" xfId="0" applyNumberFormat="1" applyFont="1" applyAlignment="1">
      <alignment horizontal="center" vertical="center"/>
    </xf>
    <xf numFmtId="9" fontId="1" fillId="0" borderId="0" xfId="10" applyFont="1" applyAlignment="1">
      <alignment horizontal="center" vertical="center"/>
    </xf>
    <xf numFmtId="170" fontId="4" fillId="12" borderId="0" xfId="0" applyNumberFormat="1" applyFont="1" applyFill="1" applyAlignment="1">
      <alignment horizontal="center" vertical="center"/>
    </xf>
    <xf numFmtId="10" fontId="1" fillId="0" borderId="0" xfId="10" applyNumberFormat="1" applyFont="1" applyAlignment="1">
      <alignment horizontal="center" vertical="center"/>
    </xf>
    <xf numFmtId="0" fontId="19" fillId="0" borderId="1" xfId="2" applyFont="1" applyBorder="1" applyAlignment="1">
      <alignment wrapText="1"/>
    </xf>
    <xf numFmtId="0" fontId="19" fillId="2" borderId="1" xfId="2" applyFont="1" applyFill="1" applyBorder="1" applyAlignment="1">
      <alignment wrapText="1"/>
    </xf>
    <xf numFmtId="0" fontId="3" fillId="12" borderId="0" xfId="2" applyFill="1" applyAlignment="1">
      <alignment wrapText="1"/>
    </xf>
    <xf numFmtId="0" fontId="3" fillId="0" borderId="0" xfId="2" applyAlignment="1">
      <alignment wrapText="1"/>
    </xf>
    <xf numFmtId="43" fontId="0" fillId="14" borderId="0" xfId="3" applyFont="1" applyFill="1" applyBorder="1" applyAlignment="1">
      <alignment wrapText="1"/>
    </xf>
    <xf numFmtId="0" fontId="19" fillId="0" borderId="1" xfId="2" applyFont="1" applyBorder="1"/>
    <xf numFmtId="14" fontId="19" fillId="0" borderId="1" xfId="2" applyNumberFormat="1" applyFont="1" applyBorder="1"/>
    <xf numFmtId="10" fontId="19" fillId="0" borderId="1" xfId="10" applyNumberFormat="1" applyFont="1" applyBorder="1"/>
    <xf numFmtId="176" fontId="19" fillId="0" borderId="1" xfId="2" applyNumberFormat="1" applyFont="1" applyBorder="1"/>
    <xf numFmtId="170" fontId="3" fillId="0" borderId="0" xfId="2" applyNumberFormat="1"/>
    <xf numFmtId="43" fontId="0" fillId="14" borderId="0" xfId="3" applyFont="1" applyFill="1" applyBorder="1"/>
    <xf numFmtId="2" fontId="0" fillId="14" borderId="0" xfId="3" applyNumberFormat="1" applyFont="1" applyFill="1" applyBorder="1"/>
    <xf numFmtId="0" fontId="3" fillId="14" borderId="0" xfId="2" applyFill="1"/>
    <xf numFmtId="0" fontId="3" fillId="0" borderId="5" xfId="2" applyBorder="1"/>
    <xf numFmtId="0" fontId="3" fillId="0" borderId="6" xfId="2" applyBorder="1"/>
    <xf numFmtId="170" fontId="4" fillId="14" borderId="0" xfId="2" applyNumberFormat="1" applyFont="1" applyFill="1"/>
    <xf numFmtId="14" fontId="4" fillId="12" borderId="0" xfId="2" applyNumberFormat="1" applyFont="1" applyFill="1"/>
    <xf numFmtId="0" fontId="19" fillId="0" borderId="4" xfId="2" applyFont="1" applyBorder="1"/>
    <xf numFmtId="0" fontId="3" fillId="0" borderId="4" xfId="2" applyBorder="1"/>
    <xf numFmtId="9" fontId="4" fillId="14" borderId="0" xfId="10" applyFont="1" applyFill="1"/>
    <xf numFmtId="0" fontId="4" fillId="12" borderId="0" xfId="2" applyFont="1" applyFill="1"/>
    <xf numFmtId="0" fontId="21" fillId="10" borderId="4" xfId="2" applyFont="1" applyFill="1" applyBorder="1" applyAlignment="1">
      <alignment wrapText="1"/>
    </xf>
    <xf numFmtId="0" fontId="19" fillId="0" borderId="0" xfId="2" applyFont="1" applyAlignment="1">
      <alignment wrapText="1"/>
    </xf>
    <xf numFmtId="0" fontId="19" fillId="0" borderId="0" xfId="2" applyFont="1"/>
    <xf numFmtId="14" fontId="19" fillId="0" borderId="0" xfId="2" applyNumberFormat="1" applyFont="1"/>
    <xf numFmtId="176" fontId="19" fillId="0" borderId="0" xfId="3" applyNumberFormat="1" applyFont="1" applyFill="1" applyBorder="1"/>
    <xf numFmtId="10" fontId="19" fillId="0" borderId="0" xfId="10" applyNumberFormat="1" applyFont="1" applyFill="1" applyBorder="1"/>
    <xf numFmtId="176" fontId="19" fillId="0" borderId="0" xfId="2" applyNumberFormat="1" applyFont="1"/>
    <xf numFmtId="176" fontId="22" fillId="0" borderId="0" xfId="3" applyNumberFormat="1" applyFont="1" applyFill="1" applyBorder="1"/>
    <xf numFmtId="0" fontId="21" fillId="0" borderId="1" xfId="2" applyFont="1" applyBorder="1" applyAlignment="1">
      <alignment wrapText="1"/>
    </xf>
    <xf numFmtId="49" fontId="23" fillId="0" borderId="7" xfId="11" applyNumberFormat="1" applyFont="1" applyBorder="1" applyAlignment="1">
      <alignment horizontal="center" vertical="center" wrapText="1"/>
    </xf>
    <xf numFmtId="49" fontId="24" fillId="0" borderId="7" xfId="11" applyNumberFormat="1" applyFont="1" applyBorder="1" applyAlignment="1">
      <alignment horizontal="center" vertical="center" wrapText="1"/>
    </xf>
    <xf numFmtId="49" fontId="24" fillId="0" borderId="7" xfId="11" applyNumberFormat="1" applyFont="1" applyBorder="1" applyAlignment="1">
      <alignment horizontal="center" vertical="center"/>
    </xf>
    <xf numFmtId="49" fontId="25" fillId="0" borderId="7" xfId="11" applyNumberFormat="1" applyFont="1" applyBorder="1" applyAlignment="1">
      <alignment horizontal="center" vertical="center"/>
    </xf>
    <xf numFmtId="49" fontId="24" fillId="0" borderId="8" xfId="11" applyNumberFormat="1" applyFont="1" applyBorder="1" applyAlignment="1">
      <alignment horizontal="center" vertical="center"/>
    </xf>
    <xf numFmtId="0" fontId="25" fillId="0" borderId="1" xfId="11" applyFont="1" applyBorder="1" applyAlignment="1">
      <alignment horizontal="center" vertical="center" wrapText="1"/>
    </xf>
    <xf numFmtId="0" fontId="26" fillId="0" borderId="1" xfId="11" applyFont="1" applyBorder="1" applyAlignment="1">
      <alignment horizontal="center" vertical="center" wrapText="1"/>
    </xf>
    <xf numFmtId="0" fontId="27" fillId="0" borderId="0" xfId="11" applyFont="1" applyAlignment="1">
      <alignment horizontal="center" vertical="center"/>
    </xf>
    <xf numFmtId="0" fontId="28" fillId="0" borderId="0" xfId="11" applyFont="1" applyAlignment="1">
      <alignment horizontal="center" vertical="center" wrapText="1"/>
    </xf>
    <xf numFmtId="0" fontId="28" fillId="0" borderId="0" xfId="11" applyFont="1" applyAlignment="1">
      <alignment horizontal="center" vertical="center"/>
    </xf>
    <xf numFmtId="177" fontId="29" fillId="0" borderId="7" xfId="11" applyNumberFormat="1" applyFont="1" applyBorder="1" applyAlignment="1">
      <alignment horizontal="center" vertical="center" readingOrder="2"/>
    </xf>
    <xf numFmtId="14" fontId="27" fillId="0" borderId="7" xfId="11" applyNumberFormat="1" applyFont="1" applyBorder="1" applyAlignment="1">
      <alignment horizontal="center" vertical="center"/>
    </xf>
    <xf numFmtId="0" fontId="27" fillId="0" borderId="7" xfId="11" applyFont="1" applyBorder="1" applyAlignment="1">
      <alignment horizontal="center" vertical="center"/>
    </xf>
    <xf numFmtId="9" fontId="27" fillId="0" borderId="8" xfId="11" applyNumberFormat="1" applyFont="1" applyBorder="1" applyAlignment="1">
      <alignment horizontal="center" vertical="center"/>
    </xf>
    <xf numFmtId="165" fontId="27" fillId="0" borderId="1" xfId="12" applyNumberFormat="1" applyFont="1" applyFill="1" applyBorder="1" applyAlignment="1">
      <alignment horizontal="center" vertical="center"/>
    </xf>
    <xf numFmtId="0" fontId="27" fillId="0" borderId="1" xfId="11" applyFont="1" applyBorder="1" applyAlignment="1">
      <alignment horizontal="center" vertical="center"/>
    </xf>
    <xf numFmtId="14" fontId="27" fillId="0" borderId="0" xfId="11" applyNumberFormat="1" applyFont="1" applyAlignment="1">
      <alignment horizontal="center" vertical="center"/>
    </xf>
    <xf numFmtId="49" fontId="28" fillId="0" borderId="0" xfId="11" applyNumberFormat="1" applyFont="1" applyAlignment="1">
      <alignment horizontal="center" vertical="center"/>
    </xf>
    <xf numFmtId="0" fontId="27" fillId="0" borderId="9" xfId="11" applyFont="1" applyBorder="1" applyAlignment="1">
      <alignment horizontal="center" vertical="center"/>
    </xf>
    <xf numFmtId="0" fontId="30" fillId="0" borderId="10" xfId="11" applyFont="1" applyBorder="1" applyAlignment="1">
      <alignment horizontal="center" vertical="center"/>
    </xf>
    <xf numFmtId="0" fontId="27" fillId="0" borderId="11" xfId="11" applyFont="1" applyBorder="1" applyAlignment="1">
      <alignment horizontal="center" vertical="center"/>
    </xf>
    <xf numFmtId="0" fontId="22" fillId="0" borderId="12" xfId="11" applyFont="1" applyBorder="1" applyAlignment="1">
      <alignment horizontal="center" vertical="center"/>
    </xf>
    <xf numFmtId="0" fontId="22" fillId="0" borderId="0" xfId="11" applyFont="1" applyAlignment="1">
      <alignment horizontal="center" vertical="center"/>
    </xf>
    <xf numFmtId="0" fontId="22" fillId="0" borderId="13" xfId="11" applyFont="1" applyBorder="1" applyAlignment="1">
      <alignment horizontal="center" vertical="center"/>
    </xf>
    <xf numFmtId="0" fontId="26" fillId="0" borderId="0" xfId="11" applyFont="1" applyAlignment="1">
      <alignment horizontal="center" vertical="center" wrapText="1"/>
    </xf>
    <xf numFmtId="0" fontId="27" fillId="0" borderId="12" xfId="11" applyFont="1" applyBorder="1" applyAlignment="1">
      <alignment horizontal="center" vertical="center"/>
    </xf>
    <xf numFmtId="177" fontId="29" fillId="0" borderId="0" xfId="11" applyNumberFormat="1" applyFont="1" applyAlignment="1">
      <alignment horizontal="center" vertical="center" readingOrder="2"/>
    </xf>
    <xf numFmtId="0" fontId="27" fillId="0" borderId="13" xfId="11" applyFont="1" applyBorder="1" applyAlignment="1">
      <alignment horizontal="center" vertical="center"/>
    </xf>
    <xf numFmtId="177" fontId="29" fillId="0" borderId="4" xfId="11" applyNumberFormat="1" applyFont="1" applyBorder="1" applyAlignment="1">
      <alignment horizontal="center" vertical="center" readingOrder="2"/>
    </xf>
    <xf numFmtId="14" fontId="27" fillId="0" borderId="4" xfId="11" applyNumberFormat="1" applyFont="1" applyBorder="1" applyAlignment="1">
      <alignment horizontal="center" vertical="center"/>
    </xf>
    <xf numFmtId="0" fontId="27" fillId="0" borderId="4" xfId="11" applyFont="1" applyBorder="1" applyAlignment="1">
      <alignment horizontal="center" vertical="center"/>
    </xf>
    <xf numFmtId="9" fontId="27" fillId="0" borderId="1" xfId="11" applyNumberFormat="1" applyFont="1" applyBorder="1" applyAlignment="1">
      <alignment horizontal="center" vertical="center"/>
    </xf>
    <xf numFmtId="0" fontId="29" fillId="0" borderId="0" xfId="11" applyFont="1" applyAlignment="1">
      <alignment horizontal="center" vertical="center"/>
    </xf>
    <xf numFmtId="165" fontId="27" fillId="0" borderId="0" xfId="11" applyNumberFormat="1" applyFont="1" applyAlignment="1">
      <alignment horizontal="center" vertical="center"/>
    </xf>
    <xf numFmtId="0" fontId="27" fillId="0" borderId="14" xfId="11" applyFont="1" applyBorder="1" applyAlignment="1">
      <alignment horizontal="center" vertical="center"/>
    </xf>
    <xf numFmtId="0" fontId="27" fillId="0" borderId="15" xfId="11" applyFont="1" applyBorder="1" applyAlignment="1">
      <alignment horizontal="center" vertical="center"/>
    </xf>
    <xf numFmtId="0" fontId="27" fillId="0" borderId="16" xfId="11" applyFont="1" applyBorder="1" applyAlignment="1">
      <alignment horizontal="center" vertical="center"/>
    </xf>
    <xf numFmtId="165" fontId="33" fillId="0" borderId="0" xfId="12" applyNumberFormat="1" applyFont="1" applyFill="1" applyBorder="1" applyAlignment="1">
      <alignment horizontal="center" vertical="center"/>
    </xf>
    <xf numFmtId="0" fontId="34" fillId="0" borderId="0" xfId="11" applyFont="1" applyAlignment="1">
      <alignment horizontal="center" vertical="center"/>
    </xf>
    <xf numFmtId="0" fontId="25" fillId="0" borderId="0" xfId="11" applyFont="1" applyAlignment="1">
      <alignment horizontal="center" vertical="center" wrapText="1"/>
    </xf>
    <xf numFmtId="49" fontId="25" fillId="0" borderId="0" xfId="11" applyNumberFormat="1" applyFont="1" applyAlignment="1">
      <alignment horizontal="center" vertical="center"/>
    </xf>
    <xf numFmtId="49" fontId="24" fillId="0" borderId="0" xfId="11" applyNumberFormat="1" applyFont="1" applyAlignment="1">
      <alignment horizontal="center" vertical="center" wrapText="1"/>
    </xf>
    <xf numFmtId="49" fontId="24" fillId="0" borderId="0" xfId="11" applyNumberFormat="1" applyFont="1" applyAlignment="1">
      <alignment horizontal="center" vertical="center"/>
    </xf>
    <xf numFmtId="9" fontId="27" fillId="0" borderId="0" xfId="11" applyNumberFormat="1" applyFont="1" applyAlignment="1">
      <alignment horizontal="center" vertical="center"/>
    </xf>
    <xf numFmtId="165" fontId="27" fillId="0" borderId="0" xfId="12" applyNumberFormat="1" applyFont="1" applyFill="1" applyBorder="1" applyAlignment="1">
      <alignment horizontal="center" vertical="center"/>
    </xf>
    <xf numFmtId="165" fontId="29" fillId="0" borderId="0" xfId="12" applyNumberFormat="1" applyFont="1" applyFill="1" applyBorder="1" applyAlignment="1">
      <alignment horizontal="center" vertical="center"/>
    </xf>
    <xf numFmtId="177" fontId="29" fillId="0" borderId="0" xfId="11" applyNumberFormat="1" applyFont="1" applyAlignment="1">
      <alignment horizontal="center" vertical="center" readingOrder="1"/>
    </xf>
    <xf numFmtId="165" fontId="35" fillId="0" borderId="0" xfId="11" applyNumberFormat="1" applyFont="1" applyAlignment="1">
      <alignment horizontal="center" vertical="center"/>
    </xf>
    <xf numFmtId="0" fontId="36" fillId="16" borderId="1" xfId="0" applyFont="1" applyFill="1" applyBorder="1" applyAlignment="1">
      <alignment horizontal="center" vertical="center" wrapText="1"/>
    </xf>
    <xf numFmtId="0" fontId="36" fillId="0" borderId="0" xfId="0" applyFont="1" applyAlignment="1">
      <alignment horizontal="center" vertical="center" wrapText="1"/>
    </xf>
    <xf numFmtId="0" fontId="37" fillId="0" borderId="1" xfId="0" applyFont="1" applyBorder="1"/>
    <xf numFmtId="14" fontId="37" fillId="0" borderId="1" xfId="0" applyNumberFormat="1" applyFont="1" applyBorder="1"/>
    <xf numFmtId="170" fontId="37" fillId="0" borderId="1" xfId="0" applyNumberFormat="1" applyFont="1" applyBorder="1"/>
    <xf numFmtId="0" fontId="37" fillId="0" borderId="17" xfId="0" applyFont="1" applyBorder="1"/>
    <xf numFmtId="170" fontId="37" fillId="0" borderId="17" xfId="0" applyNumberFormat="1" applyFont="1" applyBorder="1"/>
    <xf numFmtId="14" fontId="37" fillId="0" borderId="0" xfId="0" applyNumberFormat="1" applyFont="1"/>
    <xf numFmtId="0" fontId="37" fillId="0" borderId="0" xfId="0" applyFont="1"/>
    <xf numFmtId="169" fontId="37" fillId="0" borderId="0" xfId="0" applyNumberFormat="1" applyFont="1"/>
    <xf numFmtId="14" fontId="18" fillId="0" borderId="0" xfId="2" applyNumberFormat="1" applyFont="1"/>
    <xf numFmtId="0" fontId="18" fillId="0" borderId="0" xfId="2" applyFont="1"/>
    <xf numFmtId="164" fontId="18" fillId="0" borderId="0" xfId="2" applyNumberFormat="1" applyFont="1"/>
    <xf numFmtId="0" fontId="18" fillId="0" borderId="0" xfId="2" applyFont="1" applyAlignment="1">
      <alignment horizontal="right"/>
    </xf>
    <xf numFmtId="0" fontId="15" fillId="0" borderId="0" xfId="2" applyFont="1" applyAlignment="1">
      <alignment horizontal="center" vertical="center" wrapText="1" readingOrder="2"/>
    </xf>
    <xf numFmtId="9" fontId="18" fillId="0" borderId="0" xfId="2" applyNumberFormat="1" applyFont="1"/>
    <xf numFmtId="1" fontId="18" fillId="0" borderId="0" xfId="2" applyNumberFormat="1" applyFont="1"/>
    <xf numFmtId="0" fontId="15" fillId="0" borderId="0" xfId="2" applyFont="1"/>
    <xf numFmtId="0" fontId="38" fillId="0" borderId="0" xfId="2" applyFont="1"/>
    <xf numFmtId="165" fontId="18" fillId="0" borderId="0" xfId="3" applyNumberFormat="1" applyFont="1" applyFill="1" applyBorder="1"/>
    <xf numFmtId="0" fontId="4" fillId="17" borderId="3" xfId="2" applyFont="1" applyFill="1" applyBorder="1" applyAlignment="1">
      <alignment horizontal="center" vertical="center" wrapText="1" readingOrder="2"/>
    </xf>
    <xf numFmtId="0" fontId="7" fillId="5" borderId="5" xfId="4" applyFont="1" applyFill="1" applyBorder="1" applyAlignment="1">
      <alignment horizontal="center" vertical="center" wrapText="1"/>
    </xf>
    <xf numFmtId="0" fontId="7" fillId="5" borderId="6" xfId="4" applyFont="1" applyFill="1" applyBorder="1" applyAlignment="1">
      <alignment horizontal="center" vertical="center" wrapText="1"/>
    </xf>
    <xf numFmtId="169" fontId="11" fillId="0" borderId="0" xfId="4" applyNumberFormat="1" applyFont="1"/>
    <xf numFmtId="0" fontId="7" fillId="18" borderId="0" xfId="4" applyFont="1" applyFill="1" applyAlignment="1">
      <alignment horizontal="center" vertical="center" wrapText="1"/>
    </xf>
    <xf numFmtId="169" fontId="11" fillId="0" borderId="0" xfId="1" applyNumberFormat="1" applyFont="1"/>
    <xf numFmtId="176" fontId="19" fillId="5" borderId="1" xfId="3" applyNumberFormat="1" applyFont="1" applyFill="1" applyBorder="1"/>
    <xf numFmtId="0" fontId="4" fillId="19" borderId="1" xfId="2" applyFont="1" applyFill="1" applyBorder="1" applyAlignment="1">
      <alignment horizontal="center" vertical="center" wrapText="1"/>
    </xf>
    <xf numFmtId="0" fontId="4" fillId="19" borderId="2" xfId="2" applyFont="1" applyFill="1" applyBorder="1" applyAlignment="1">
      <alignment horizontal="center" vertical="center" wrapText="1"/>
    </xf>
    <xf numFmtId="44" fontId="0" fillId="19" borderId="0" xfId="1" applyFont="1" applyFill="1" applyAlignment="1">
      <alignment horizontal="center"/>
    </xf>
    <xf numFmtId="0" fontId="18" fillId="0" borderId="0" xfId="2" applyFont="1" applyAlignment="1">
      <alignment horizontal="center"/>
    </xf>
    <xf numFmtId="165" fontId="0" fillId="0" borderId="0" xfId="3" applyNumberFormat="1" applyFont="1" applyFill="1" applyBorder="1"/>
    <xf numFmtId="0" fontId="22" fillId="0" borderId="0" xfId="2" applyFont="1"/>
    <xf numFmtId="0" fontId="12" fillId="2" borderId="18" xfId="5" applyFont="1" applyFill="1" applyBorder="1" applyAlignment="1">
      <alignment horizontal="center"/>
    </xf>
    <xf numFmtId="0" fontId="39" fillId="0" borderId="0" xfId="5" applyFont="1"/>
    <xf numFmtId="9" fontId="39" fillId="0" borderId="0" xfId="6" applyFont="1" applyFill="1" applyBorder="1"/>
    <xf numFmtId="169" fontId="39" fillId="0" borderId="0" xfId="5" applyNumberFormat="1" applyFont="1"/>
    <xf numFmtId="0" fontId="40" fillId="0" borderId="0" xfId="4" applyFont="1"/>
    <xf numFmtId="169" fontId="3" fillId="0" borderId="0" xfId="2" applyNumberFormat="1"/>
    <xf numFmtId="9" fontId="3" fillId="0" borderId="0" xfId="9" applyFont="1" applyFill="1" applyBorder="1"/>
    <xf numFmtId="0" fontId="36" fillId="16" borderId="4" xfId="0" applyFont="1" applyFill="1" applyBorder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0" fontId="42" fillId="0" borderId="0" xfId="0" applyFont="1"/>
    <xf numFmtId="0" fontId="41" fillId="0" borderId="0" xfId="0" applyFont="1"/>
    <xf numFmtId="9" fontId="42" fillId="0" borderId="0" xfId="0" applyNumberFormat="1" applyFont="1"/>
    <xf numFmtId="0" fontId="18" fillId="0" borderId="0" xfId="0" applyFont="1"/>
    <xf numFmtId="179" fontId="41" fillId="0" borderId="0" xfId="13" applyNumberFormat="1" applyFont="1" applyFill="1" applyBorder="1"/>
    <xf numFmtId="179" fontId="42" fillId="0" borderId="0" xfId="13" applyNumberFormat="1" applyFont="1" applyFill="1" applyBorder="1"/>
    <xf numFmtId="0" fontId="4" fillId="4" borderId="19" xfId="2" applyFont="1" applyFill="1" applyBorder="1" applyAlignment="1">
      <alignment horizontal="center" vertical="center" wrapText="1"/>
    </xf>
    <xf numFmtId="0" fontId="43" fillId="0" borderId="0" xfId="2" applyFont="1"/>
    <xf numFmtId="14" fontId="43" fillId="0" borderId="0" xfId="2" applyNumberFormat="1" applyFont="1"/>
    <xf numFmtId="0" fontId="44" fillId="0" borderId="0" xfId="2" applyFont="1"/>
    <xf numFmtId="0" fontId="15" fillId="0" borderId="0" xfId="2" applyFont="1" applyAlignment="1">
      <alignment horizontal="center"/>
    </xf>
    <xf numFmtId="0" fontId="45" fillId="0" borderId="0" xfId="2" applyFont="1" applyAlignment="1">
      <alignment horizontal="center"/>
    </xf>
    <xf numFmtId="9" fontId="18" fillId="0" borderId="0" xfId="8" applyFont="1" applyFill="1" applyBorder="1" applyAlignment="1">
      <alignment horizontal="center"/>
    </xf>
    <xf numFmtId="10" fontId="43" fillId="0" borderId="0" xfId="2" applyNumberFormat="1" applyFont="1"/>
    <xf numFmtId="9" fontId="43" fillId="0" borderId="0" xfId="2" applyNumberFormat="1" applyFont="1"/>
    <xf numFmtId="0" fontId="43" fillId="0" borderId="0" xfId="2" applyFont="1" applyAlignment="1">
      <alignment horizontal="center"/>
    </xf>
    <xf numFmtId="0" fontId="1" fillId="13" borderId="5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2" fontId="18" fillId="0" borderId="0" xfId="0" applyNumberFormat="1" applyFont="1" applyAlignment="1">
      <alignment horizontal="center" vertical="center"/>
    </xf>
    <xf numFmtId="0" fontId="15" fillId="0" borderId="0" xfId="2" applyFont="1" applyAlignment="1">
      <alignment horizontal="center" vertical="center" wrapText="1"/>
    </xf>
    <xf numFmtId="171" fontId="18" fillId="0" borderId="0" xfId="3" applyNumberFormat="1" applyFont="1" applyFill="1" applyBorder="1" applyAlignment="1">
      <alignment horizontal="center"/>
    </xf>
    <xf numFmtId="173" fontId="18" fillId="0" borderId="0" xfId="2" applyNumberFormat="1" applyFont="1"/>
    <xf numFmtId="172" fontId="18" fillId="0" borderId="0" xfId="7" applyNumberFormat="1" applyFont="1" applyFill="1" applyBorder="1"/>
    <xf numFmtId="1" fontId="18" fillId="0" borderId="0" xfId="3" applyNumberFormat="1" applyFont="1" applyFill="1" applyBorder="1" applyAlignment="1">
      <alignment horizontal="center"/>
    </xf>
    <xf numFmtId="175" fontId="18" fillId="0" borderId="0" xfId="3" applyNumberFormat="1" applyFont="1" applyFill="1" applyBorder="1" applyAlignment="1">
      <alignment horizontal="center"/>
    </xf>
    <xf numFmtId="174" fontId="44" fillId="0" borderId="0" xfId="2" applyNumberFormat="1" applyFont="1"/>
    <xf numFmtId="171" fontId="15" fillId="0" borderId="0" xfId="3" applyNumberFormat="1" applyFont="1" applyFill="1" applyBorder="1" applyAlignment="1">
      <alignment horizontal="center" vertical="center" wrapText="1"/>
    </xf>
    <xf numFmtId="44" fontId="18" fillId="0" borderId="0" xfId="1" applyFont="1" applyFill="1" applyBorder="1" applyAlignment="1">
      <alignment horizontal="center"/>
    </xf>
    <xf numFmtId="0" fontId="4" fillId="11" borderId="19" xfId="2" applyFont="1" applyFill="1" applyBorder="1" applyAlignment="1">
      <alignment horizontal="center" vertical="center" wrapText="1"/>
    </xf>
    <xf numFmtId="1" fontId="43" fillId="0" borderId="0" xfId="2" applyNumberFormat="1" applyFont="1"/>
    <xf numFmtId="14" fontId="18" fillId="0" borderId="0" xfId="2" applyNumberFormat="1" applyFont="1" applyAlignment="1">
      <alignment horizontal="center"/>
    </xf>
    <xf numFmtId="172" fontId="18" fillId="0" borderId="0" xfId="2" applyNumberFormat="1" applyFont="1" applyAlignment="1">
      <alignment horizontal="center"/>
    </xf>
    <xf numFmtId="1" fontId="18" fillId="0" borderId="0" xfId="2" applyNumberFormat="1" applyFont="1" applyAlignment="1">
      <alignment horizontal="center"/>
    </xf>
    <xf numFmtId="10" fontId="18" fillId="0" borderId="0" xfId="2" applyNumberFormat="1" applyFont="1" applyAlignment="1">
      <alignment horizontal="center"/>
    </xf>
    <xf numFmtId="175" fontId="18" fillId="0" borderId="0" xfId="2" applyNumberFormat="1" applyFont="1" applyAlignment="1">
      <alignment horizontal="center"/>
    </xf>
    <xf numFmtId="9" fontId="18" fillId="0" borderId="0" xfId="2" applyNumberFormat="1" applyFont="1" applyAlignment="1">
      <alignment horizontal="center"/>
    </xf>
    <xf numFmtId="0" fontId="18" fillId="0" borderId="0" xfId="2" applyFont="1" applyAlignment="1">
      <alignment horizontal="center"/>
    </xf>
    <xf numFmtId="0" fontId="20" fillId="15" borderId="0" xfId="2" applyFont="1" applyFill="1" applyAlignment="1">
      <alignment horizontal="center"/>
    </xf>
    <xf numFmtId="0" fontId="28" fillId="0" borderId="0" xfId="11" applyFont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14">
    <cellStyle name="Comma 2" xfId="3" xr:uid="{1F909425-5238-45D1-8164-CC5178F21685}"/>
    <cellStyle name="Comma 3" xfId="12" xr:uid="{1F8D7B88-73B7-483A-A44A-97C6DE740955}"/>
    <cellStyle name="Comma 4" xfId="13" xr:uid="{A5783D3A-505D-48E9-8460-E6A99A2A78D4}"/>
    <cellStyle name="Currency" xfId="1" builtinId="4"/>
    <cellStyle name="Currency 2" xfId="7" xr:uid="{A2EA3E84-D8C3-4AD6-887B-7F52B6FA43A2}"/>
    <cellStyle name="Normal" xfId="0" builtinId="0"/>
    <cellStyle name="Normal 2" xfId="2" xr:uid="{58C26E87-FA76-4553-8D78-847BC3FC00CB}"/>
    <cellStyle name="Normal 2 2" xfId="4" xr:uid="{578FA7CB-CFCA-4DD6-931A-CEB558AD1371}"/>
    <cellStyle name="Normal 3" xfId="11" xr:uid="{7595BCA3-23A3-4129-AD3B-F4F445238AB3}"/>
    <cellStyle name="Normal_מיון ושכיחויות" xfId="5" xr:uid="{7BC79163-C905-4839-B615-4853BFBFCC61}"/>
    <cellStyle name="Percent" xfId="9" builtinId="5"/>
    <cellStyle name="Percent 2" xfId="6" xr:uid="{607CAC9E-42F7-456F-9056-C9932628BEBE}"/>
    <cellStyle name="Percent 2 2" xfId="10" xr:uid="{800EB3C9-F60C-4F3B-BCB5-8B83771D9FF2}"/>
    <cellStyle name="Percent 3" xfId="8" xr:uid="{5AD46D06-7A92-4836-A2E4-E0BF80EDB309}"/>
  </cellStyles>
  <dxfs count="5">
    <dxf>
      <font>
        <b/>
        <i val="0"/>
        <color theme="0"/>
      </font>
      <fill>
        <patternFill>
          <bgColor theme="9" tint="0.39994506668294322"/>
        </patternFill>
      </fill>
    </dxf>
    <dxf>
      <font>
        <b/>
        <i val="0"/>
        <color theme="0"/>
      </font>
      <fill>
        <patternFill>
          <bgColor theme="9" tint="0.39994506668294322"/>
        </patternFill>
      </fill>
    </dxf>
    <dxf>
      <font>
        <color theme="0"/>
      </font>
      <fill>
        <patternFill>
          <bgColor theme="1" tint="4.9989318521683403E-2"/>
        </patternFill>
      </fill>
    </dxf>
    <dxf>
      <font>
        <b/>
        <i val="0"/>
        <color theme="0"/>
      </font>
      <fill>
        <patternFill>
          <bgColor theme="9" tint="0.39994506668294322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D8F4FC"/>
      <color rgb="FFDBFED6"/>
      <color rgb="FFFFCCCC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sheetMetadata" Target="metadata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png"/><Relationship Id="rId2" Type="http://schemas.openxmlformats.org/officeDocument/2006/relationships/image" Target="../media/image10.png"/><Relationship Id="rId1" Type="http://schemas.openxmlformats.org/officeDocument/2006/relationships/image" Target="../media/image9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1018673</xdr:colOff>
      <xdr:row>0</xdr:row>
      <xdr:rowOff>0</xdr:rowOff>
    </xdr:from>
    <xdr:to>
      <xdr:col>22</xdr:col>
      <xdr:colOff>1291694</xdr:colOff>
      <xdr:row>5</xdr:row>
      <xdr:rowOff>99999</xdr:rowOff>
    </xdr:to>
    <xdr:pic>
      <xdr:nvPicPr>
        <xdr:cNvPr id="3" name="תמונה 2">
          <a:extLst>
            <a:ext uri="{FF2B5EF4-FFF2-40B4-BE49-F238E27FC236}">
              <a16:creationId xmlns:a16="http://schemas.microsoft.com/office/drawing/2014/main" id="{E45E10C6-531C-4B96-AD62-4193985068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146953527" y="0"/>
          <a:ext cx="7564158" cy="116679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489474</xdr:colOff>
      <xdr:row>0</xdr:row>
      <xdr:rowOff>0</xdr:rowOff>
    </xdr:from>
    <xdr:to>
      <xdr:col>17</xdr:col>
      <xdr:colOff>257540</xdr:colOff>
      <xdr:row>2</xdr:row>
      <xdr:rowOff>16957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FFC4F4EB-8896-4EEE-B8AB-A8C1E2A2B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1004143049" y="0"/>
          <a:ext cx="10588466" cy="4651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289896</xdr:colOff>
      <xdr:row>1</xdr:row>
      <xdr:rowOff>15240</xdr:rowOff>
    </xdr:from>
    <xdr:to>
      <xdr:col>23</xdr:col>
      <xdr:colOff>19333</xdr:colOff>
      <xdr:row>23</xdr:row>
      <xdr:rowOff>170018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9DE0F2D6-F5A5-260A-5245-74C1D72CB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998376247" y="419100"/>
          <a:ext cx="7814257" cy="45210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213360</xdr:colOff>
      <xdr:row>0</xdr:row>
      <xdr:rowOff>30479</xdr:rowOff>
    </xdr:from>
    <xdr:to>
      <xdr:col>27</xdr:col>
      <xdr:colOff>580804</xdr:colOff>
      <xdr:row>13</xdr:row>
      <xdr:rowOff>45720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2D946070-08E3-4F93-88F1-65A793AB0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67769116" y="30479"/>
          <a:ext cx="9526684" cy="29184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281940</xdr:colOff>
      <xdr:row>29</xdr:row>
      <xdr:rowOff>68580</xdr:rowOff>
    </xdr:from>
    <xdr:to>
      <xdr:col>29</xdr:col>
      <xdr:colOff>534713</xdr:colOff>
      <xdr:row>46</xdr:row>
      <xdr:rowOff>122345</xdr:rowOff>
    </xdr:to>
    <xdr:pic>
      <xdr:nvPicPr>
        <xdr:cNvPr id="3" name="תמונה 2">
          <a:extLst>
            <a:ext uri="{FF2B5EF4-FFF2-40B4-BE49-F238E27FC236}">
              <a16:creationId xmlns:a16="http://schemas.microsoft.com/office/drawing/2014/main" id="{2B6C9060-C11C-4089-8CB4-DB3FA96FE1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966474087" y="5890260"/>
          <a:ext cx="9412013" cy="304842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141512</xdr:colOff>
      <xdr:row>0</xdr:row>
      <xdr:rowOff>0</xdr:rowOff>
    </xdr:from>
    <xdr:to>
      <xdr:col>21</xdr:col>
      <xdr:colOff>105038</xdr:colOff>
      <xdr:row>6</xdr:row>
      <xdr:rowOff>83422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14179E1E-405E-806E-ED6A-F7C8FFD021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865394476" y="0"/>
          <a:ext cx="10936326" cy="1661851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287693</xdr:colOff>
      <xdr:row>0</xdr:row>
      <xdr:rowOff>0</xdr:rowOff>
    </xdr:from>
    <xdr:to>
      <xdr:col>29</xdr:col>
      <xdr:colOff>168720</xdr:colOff>
      <xdr:row>14</xdr:row>
      <xdr:rowOff>22860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A785A108-D9F4-168D-1779-E29B644927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966840080" y="0"/>
          <a:ext cx="8263027" cy="30099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611410</xdr:colOff>
      <xdr:row>0</xdr:row>
      <xdr:rowOff>0</xdr:rowOff>
    </xdr:from>
    <xdr:to>
      <xdr:col>26</xdr:col>
      <xdr:colOff>679075</xdr:colOff>
      <xdr:row>29</xdr:row>
      <xdr:rowOff>74151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9422C5A5-2EF3-440C-A688-C75D9754D5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290959654" y="0"/>
          <a:ext cx="7194606" cy="580259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963604</xdr:colOff>
      <xdr:row>0</xdr:row>
      <xdr:rowOff>0</xdr:rowOff>
    </xdr:from>
    <xdr:to>
      <xdr:col>30</xdr:col>
      <xdr:colOff>325484</xdr:colOff>
      <xdr:row>20</xdr:row>
      <xdr:rowOff>17494</xdr:rowOff>
    </xdr:to>
    <xdr:pic>
      <xdr:nvPicPr>
        <xdr:cNvPr id="4" name="תמונה 3">
          <a:extLst>
            <a:ext uri="{FF2B5EF4-FFF2-40B4-BE49-F238E27FC236}">
              <a16:creationId xmlns:a16="http://schemas.microsoft.com/office/drawing/2014/main" id="{B746A513-4578-E17E-7C16-8A70152EA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944340151" y="0"/>
          <a:ext cx="7061393" cy="42383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300161</xdr:colOff>
      <xdr:row>0</xdr:row>
      <xdr:rowOff>0</xdr:rowOff>
    </xdr:from>
    <xdr:to>
      <xdr:col>40</xdr:col>
      <xdr:colOff>247847</xdr:colOff>
      <xdr:row>5</xdr:row>
      <xdr:rowOff>44901</xdr:rowOff>
    </xdr:to>
    <xdr:pic>
      <xdr:nvPicPr>
        <xdr:cNvPr id="5" name="תמונה 4">
          <a:extLst>
            <a:ext uri="{FF2B5EF4-FFF2-40B4-BE49-F238E27FC236}">
              <a16:creationId xmlns:a16="http://schemas.microsoft.com/office/drawing/2014/main" id="{B7AFE242-F4A8-E12C-7D26-26716CB4F3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937725440" y="0"/>
          <a:ext cx="6640034" cy="1641788"/>
        </a:xfrm>
        <a:prstGeom prst="rect">
          <a:avLst/>
        </a:prstGeom>
      </xdr:spPr>
    </xdr:pic>
    <xdr:clientData/>
  </xdr:twoCellAnchor>
  <xdr:twoCellAnchor editAs="oneCell">
    <xdr:from>
      <xdr:col>19</xdr:col>
      <xdr:colOff>983973</xdr:colOff>
      <xdr:row>19</xdr:row>
      <xdr:rowOff>165651</xdr:rowOff>
    </xdr:from>
    <xdr:to>
      <xdr:col>31</xdr:col>
      <xdr:colOff>589721</xdr:colOff>
      <xdr:row>40</xdr:row>
      <xdr:rowOff>82540</xdr:rowOff>
    </xdr:to>
    <xdr:pic>
      <xdr:nvPicPr>
        <xdr:cNvPr id="3" name="תמונה 2">
          <a:extLst>
            <a:ext uri="{FF2B5EF4-FFF2-40B4-BE49-F238E27FC236}">
              <a16:creationId xmlns:a16="http://schemas.microsoft.com/office/drawing/2014/main" id="{69001023-100C-7719-1BFA-DC9BD8FC4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43406679" y="4214190"/>
          <a:ext cx="7974496" cy="40250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797859</xdr:colOff>
      <xdr:row>0</xdr:row>
      <xdr:rowOff>0</xdr:rowOff>
    </xdr:from>
    <xdr:to>
      <xdr:col>19</xdr:col>
      <xdr:colOff>412826</xdr:colOff>
      <xdr:row>10</xdr:row>
      <xdr:rowOff>91892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79FCAF09-7153-4BC4-872B-5E8DDF359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857531362" y="0"/>
          <a:ext cx="8965155" cy="22613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472440</xdr:colOff>
      <xdr:row>0</xdr:row>
      <xdr:rowOff>76200</xdr:rowOff>
    </xdr:from>
    <xdr:to>
      <xdr:col>16</xdr:col>
      <xdr:colOff>68202</xdr:colOff>
      <xdr:row>11</xdr:row>
      <xdr:rowOff>7620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E1D73ED3-F0D7-411F-9EF2-681B87C9EA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75657878" y="76200"/>
          <a:ext cx="8313042" cy="185928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198120</xdr:colOff>
      <xdr:row>5</xdr:row>
      <xdr:rowOff>167640</xdr:rowOff>
    </xdr:from>
    <xdr:to>
      <xdr:col>14</xdr:col>
      <xdr:colOff>696034</xdr:colOff>
      <xdr:row>18</xdr:row>
      <xdr:rowOff>114300</xdr:rowOff>
    </xdr:to>
    <xdr:pic>
      <xdr:nvPicPr>
        <xdr:cNvPr id="3" name="תמונה 2">
          <a:extLst>
            <a:ext uri="{FF2B5EF4-FFF2-40B4-BE49-F238E27FC236}">
              <a16:creationId xmlns:a16="http://schemas.microsoft.com/office/drawing/2014/main" id="{E1CFA660-DE09-3801-0A1E-90F537999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977567506" y="1584960"/>
          <a:ext cx="13947214" cy="2247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&#1502;&#1513;&#1514;&#1502;&#1513;\Desktop\&#1500;&#1497;&#1502;&#1493;&#1491;&#1497;&#1493;&#1514;%202026\&#1505;&#1502;&#1505;&#1496;&#1512;%20&#1488;\&#1500;&#1497;&#1502;&#1493;&#1491;&#1497;&#1492;%20&#1508;&#1512;&#1496;&#1497;&#1514;%20&#1502;&#1504;&#1506;&#1505;%20&#1488;&#1511;&#1505;&#1500;%20&#1489;&#1497;&#1493;&#1494;&#1502;&#1514;&#1497;\&#8207;&#8207;&#1502;&#1493;&#1506;&#1491;%20&#1489;%202024%20-%20&#1506;&#1493;&#1514;&#1511;\DataBae2024SOLVE.xlsx" TargetMode="External"/><Relationship Id="rId1" Type="http://schemas.openxmlformats.org/officeDocument/2006/relationships/externalLinkPath" Target="&#8207;&#8207;&#1502;&#1493;&#1506;&#1491;%20&#1489;%202024%20-%20&#1506;&#1493;&#1514;&#1511;/DataBae2024SOLVE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&#1511;&#1493;&#1489;&#1512;&#1492;\&#1514;&#1513;&#1508;&#1491;%202024%20&#1505;&#1502;&#1505;&#1496;&#1512;%20&#1488;\&#1500;&#1497;&#1502;&#1493;&#1491;&#1497;&#1493;&#1514;%202024\&#1502;&#1504;&#1506;&#1505;\&#1513;&#1504;&#1492;%20&#1488;%20&#1500;&#1497;&#1502;&#1493;&#1491;&#1497;&#1497;&#1514;%20&#1488;&#1511;&#1505;&#1500;%20&#1502;&#1504;&#1506;&#1505;\&#1502;&#1493;&#1506;&#1491;%20&#1488;%20&#1493;&#1508;&#1514;&#1512;&#1493;&#1503;%202022\&#1502;-&#1504;&#1493;&#1513;&#1488;%20115200%20&#1497;&#1497;&#1513;&#1493;&#1502;&#1497;%20&#1502;&#1495;&#1513;&#1489;%20&#1489;&#1504;&#1497;&#1492;&#1493;&#1500;%20&#1502;&#1493;&#1506;&#1491;%201.xlsx" TargetMode="External"/><Relationship Id="rId1" Type="http://schemas.openxmlformats.org/officeDocument/2006/relationships/externalLinkPath" Target="/&#1511;&#1493;&#1489;&#1512;&#1492;/&#1514;&#1513;&#1508;&#1491;%202024%20&#1505;&#1502;&#1505;&#1496;&#1512;%20&#1488;/&#1500;&#1497;&#1502;&#1493;&#1491;&#1497;&#1493;&#1514;%202024/&#1502;&#1504;&#1506;&#1505;/&#1513;&#1504;&#1492;%20&#1488;%20&#1500;&#1497;&#1502;&#1493;&#1491;&#1497;&#1497;&#1514;%20&#1488;&#1511;&#1505;&#1500;%20&#1502;&#1504;&#1506;&#1505;/&#1502;&#1493;&#1506;&#1491;%20&#1488;%20&#1493;&#1508;&#1514;&#1512;&#1493;&#1503;%202022/&#1502;-&#1504;&#1493;&#1513;&#1488;%20115200%20&#1497;&#1497;&#1513;&#1493;&#1502;&#1497;%20&#1502;&#1495;&#1513;&#1489;%20&#1489;&#1504;&#1497;&#1492;&#1493;&#1500;%20&#1502;&#1493;&#1506;&#1491;%201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&#1511;&#1493;&#1489;&#1512;&#1492;\&#1513;&#1497;&#1497;&#1498;%20&#1500;&#1506;&#1489;&#1512;\&#1514;&#1513;&#1508;&#1491;%202024%20&#1505;&#1502;&#1505;&#1496;&#1512;%20&#1488;\&#1500;&#1497;&#1502;&#1493;&#1491;&#1497;&#1493;&#1514;%202024\&#1500;&#1497;&#1502;&#1493;&#1491;&#1497;&#1493;&#1514;%20&#1505;&#1502;%20&#1488;%202024\&#1500;&#1497;&#1502;&#1493;&#1491;&#1497;&#1497;&#1514;%20&#1488;&#1511;&#1505;&#1500;%20&#1495;&#1513;&#1489;&#1493;&#1504;&#1488;&#1497;&#1501;\&#1490;&#1497;&#1500;&#1497;&#1493;&#1503;%20&#1508;&#1514;&#1493;&#1512;%20&#1500;&#1508;&#1514;&#1497;&#1495;&#1492;%20&#1500;&#1500;&#1497;&#1502;&#1493;&#1491;&#1497;&#1492;.xlsx" TargetMode="External"/><Relationship Id="rId1" Type="http://schemas.openxmlformats.org/officeDocument/2006/relationships/externalLinkPath" Target="file:///G:\&#1511;&#1493;&#1489;&#1512;&#1492;\&#1513;&#1497;&#1497;&#1498;%20&#1500;&#1506;&#1489;&#1512;\&#1514;&#1513;&#1508;&#1491;%202024%20&#1505;&#1502;&#1505;&#1496;&#1512;%20&#1488;\&#1500;&#1497;&#1502;&#1493;&#1491;&#1497;&#1493;&#1514;%202024\&#1500;&#1497;&#1502;&#1493;&#1491;&#1497;&#1493;&#1514;%20&#1505;&#1502;%20&#1488;%202024\&#1500;&#1497;&#1502;&#1493;&#1491;&#1497;&#1497;&#1514;%20&#1488;&#1511;&#1505;&#1500;%20&#1495;&#1513;&#1489;&#1493;&#1504;&#1488;&#1497;&#1501;\&#1490;&#1497;&#1500;&#1497;&#1493;&#1503;%20&#1508;&#1514;&#1493;&#1512;%20&#1500;&#1508;&#1514;&#1497;&#1495;&#1492;%20&#1500;&#1500;&#1497;&#1502;&#1493;&#1491;&#1497;&#1492;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&#1502;&#1513;&#1514;&#1502;&#1513;\Downloads\File_0___DATA.exA-Solve%20(4).xlsx" TargetMode="External"/><Relationship Id="rId1" Type="http://schemas.openxmlformats.org/officeDocument/2006/relationships/externalLinkPath" Target="/Users/&#1502;&#1513;&#1514;&#1502;&#1513;/Downloads/File_0___DATA.exA-Solve%20(4)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&#1511;&#1493;&#1489;&#1512;&#1492;\&#1514;&#1513;&#1508;&#1491;%202024%20&#1505;&#1502;&#1505;&#1496;&#1512;%20&#1488;\&#1500;&#1497;&#1502;&#1493;&#1491;&#1497;&#1493;&#1514;%202024\&#1502;&#1504;&#1506;&#1505;\&#1513;&#1504;&#1492;%20&#1488;%20&#1500;&#1497;&#1502;&#1493;&#1491;&#1497;&#1497;&#1514;%20&#1488;&#1511;&#1505;&#1500;%20&#1502;&#1504;&#1506;&#1505;\&#1502;&#1493;&#1506;&#1491;%20&#1488;%202023\File_0_&#1508;&#1514;&#1512;&#1493;&#1503;%20&#1502;&#1493;&#1506;&#1491;%20&#1488;.xlsx" TargetMode="External"/><Relationship Id="rId1" Type="http://schemas.openxmlformats.org/officeDocument/2006/relationships/externalLinkPath" Target="/&#1511;&#1493;&#1489;&#1512;&#1492;/&#1514;&#1513;&#1508;&#1491;%202024%20&#1505;&#1502;&#1505;&#1496;&#1512;%20&#1488;/&#1500;&#1497;&#1502;&#1493;&#1491;&#1497;&#1493;&#1514;%202024/&#1502;&#1504;&#1506;&#1505;/&#1513;&#1504;&#1492;%20&#1488;%20&#1500;&#1497;&#1502;&#1493;&#1491;&#1497;&#1497;&#1514;%20&#1488;&#1511;&#1505;&#1500;%20&#1502;&#1504;&#1506;&#1505;/&#1502;&#1493;&#1506;&#1491;%20&#1488;%202023/File_0_&#1508;&#1514;&#1512;&#1493;&#1503;%20&#1502;&#1493;&#1506;&#1491;%20&#148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נתונים נוספים"/>
      <sheetName val="עובדים"/>
      <sheetName val="נתוח"/>
    </sheetNames>
    <sheetDataSet>
      <sheetData sheetId="0">
        <row r="5">
          <cell r="B5" t="str">
            <v>סמנכ"ל</v>
          </cell>
          <cell r="C5">
            <v>23</v>
          </cell>
        </row>
        <row r="6">
          <cell r="B6" t="str">
            <v>מנהל מחלקה</v>
          </cell>
          <cell r="C6">
            <v>18</v>
          </cell>
        </row>
        <row r="7">
          <cell r="B7" t="str">
            <v>ראש צוות</v>
          </cell>
          <cell r="C7">
            <v>15</v>
          </cell>
        </row>
        <row r="8">
          <cell r="B8" t="str">
            <v>מנהל תחום</v>
          </cell>
          <cell r="C8">
            <v>12</v>
          </cell>
        </row>
        <row r="9">
          <cell r="B9" t="str">
            <v>פקיד</v>
          </cell>
          <cell r="C9">
            <v>10</v>
          </cell>
        </row>
      </sheetData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נתונים נוספים"/>
      <sheetName val="השקעות"/>
      <sheetName val="סך השקעה לכל חודש"/>
      <sheetName val="סינון"/>
      <sheetName val="מחקר"/>
      <sheetName val="ניתוח"/>
    </sheetNames>
    <sheetDataSet>
      <sheetData sheetId="0" refreshError="1">
        <row r="4">
          <cell r="A4" t="str">
            <v>קרן השקעה</v>
          </cell>
          <cell r="B4" t="str">
            <v>שכיר</v>
          </cell>
          <cell r="C4" t="str">
            <v>עצמאי</v>
          </cell>
          <cell r="D4" t="str">
            <v>בעל שליטה</v>
          </cell>
          <cell r="F4" t="str">
            <v>שכיר</v>
          </cell>
          <cell r="G4">
            <v>2</v>
          </cell>
        </row>
        <row r="5">
          <cell r="A5">
            <v>10</v>
          </cell>
          <cell r="B5">
            <v>0.15</v>
          </cell>
          <cell r="C5">
            <v>0.15</v>
          </cell>
          <cell r="D5">
            <v>0.1</v>
          </cell>
          <cell r="F5" t="str">
            <v>עצמאי</v>
          </cell>
          <cell r="G5">
            <v>3</v>
          </cell>
        </row>
        <row r="6">
          <cell r="A6">
            <v>13</v>
          </cell>
          <cell r="B6">
            <v>0.23</v>
          </cell>
          <cell r="C6">
            <v>0.215</v>
          </cell>
          <cell r="D6">
            <v>0.215</v>
          </cell>
          <cell r="F6" t="str">
            <v>בעל שליטה</v>
          </cell>
          <cell r="G6">
            <v>4</v>
          </cell>
        </row>
        <row r="7">
          <cell r="A7">
            <v>14</v>
          </cell>
          <cell r="B7">
            <v>0.16</v>
          </cell>
          <cell r="C7">
            <v>0.15</v>
          </cell>
          <cell r="D7">
            <v>0.23</v>
          </cell>
        </row>
        <row r="8">
          <cell r="A8">
            <v>15</v>
          </cell>
          <cell r="B8">
            <v>0.215</v>
          </cell>
          <cell r="C8">
            <v>0.1</v>
          </cell>
          <cell r="D8">
            <v>0.25</v>
          </cell>
        </row>
        <row r="9">
          <cell r="A9">
            <v>12</v>
          </cell>
          <cell r="B9">
            <v>0.1</v>
          </cell>
          <cell r="C9">
            <v>0.15</v>
          </cell>
          <cell r="D9">
            <v>0.23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הגיליון הכי חשוב"/>
      <sheetName val="פעמיים VLOOKUP"/>
      <sheetName val="DATE"/>
      <sheetName val="תנאי בתוך תנאי"/>
      <sheetName val="AverageIf"/>
      <sheetName val="חתירה למטרה 1"/>
      <sheetName val="חתירה למטרה 2"/>
      <sheetName val="countIf"/>
      <sheetName val="סינון מתקדם1"/>
      <sheetName val="גיליון1"/>
      <sheetName val="תוצאות סינון מתקדם 1"/>
      <sheetName val="סינון מתקדם2"/>
      <sheetName val="תוצאות סינון מתקדם 2"/>
      <sheetName val="VlookUp"/>
      <sheetName val="FREQUENCY"/>
      <sheetName val="Dsum"/>
      <sheetName val="ריבוי תנאי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2">
          <cell r="C2" t="str">
            <v>שכיר</v>
          </cell>
        </row>
        <row r="3">
          <cell r="C3" t="str">
            <v>עצמאי</v>
          </cell>
        </row>
        <row r="4">
          <cell r="C4" t="str">
            <v>שכיר</v>
          </cell>
        </row>
        <row r="5">
          <cell r="C5" t="str">
            <v>שכיר</v>
          </cell>
        </row>
        <row r="6">
          <cell r="C6" t="str">
            <v>שכיר</v>
          </cell>
        </row>
        <row r="7">
          <cell r="C7" t="str">
            <v>עצמאי</v>
          </cell>
        </row>
        <row r="8">
          <cell r="C8" t="str">
            <v>עצמאי</v>
          </cell>
        </row>
        <row r="9">
          <cell r="C9" t="str">
            <v>עצמאי</v>
          </cell>
        </row>
        <row r="10">
          <cell r="C10" t="str">
            <v>עצמאי</v>
          </cell>
        </row>
        <row r="11">
          <cell r="C11" t="str">
            <v>בעל שליטה</v>
          </cell>
        </row>
        <row r="12">
          <cell r="C12" t="str">
            <v>שכיר</v>
          </cell>
        </row>
        <row r="13">
          <cell r="C13" t="str">
            <v>שכיר</v>
          </cell>
        </row>
        <row r="14">
          <cell r="C14" t="str">
            <v>בעל שליטה</v>
          </cell>
        </row>
        <row r="15">
          <cell r="C15" t="str">
            <v>בעל שליטה</v>
          </cell>
        </row>
        <row r="16">
          <cell r="C16" t="str">
            <v>שכיר</v>
          </cell>
        </row>
        <row r="17">
          <cell r="C17" t="str">
            <v>שכיר</v>
          </cell>
        </row>
        <row r="18">
          <cell r="C18" t="str">
            <v>שכיר</v>
          </cell>
        </row>
        <row r="19">
          <cell r="C19" t="str">
            <v>שכיר</v>
          </cell>
        </row>
        <row r="20">
          <cell r="C20" t="str">
            <v>עצמאי</v>
          </cell>
        </row>
        <row r="21">
          <cell r="C21" t="str">
            <v>עצמאי</v>
          </cell>
        </row>
        <row r="22">
          <cell r="C22" t="str">
            <v>עצמאי</v>
          </cell>
        </row>
        <row r="23">
          <cell r="C23" t="str">
            <v>בעל שליטה</v>
          </cell>
        </row>
        <row r="24">
          <cell r="C24" t="str">
            <v>בעל שליטה</v>
          </cell>
        </row>
        <row r="25">
          <cell r="C25" t="str">
            <v>שכיר</v>
          </cell>
        </row>
        <row r="26">
          <cell r="C26" t="str">
            <v>בעל שליטה</v>
          </cell>
        </row>
        <row r="28">
          <cell r="B28">
            <v>3.1</v>
          </cell>
        </row>
      </sheetData>
      <sheetData sheetId="15"/>
      <sheetData sheetId="1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נתונים נוספים"/>
      <sheetName val="השקעות"/>
      <sheetName val="סך השקעה התחלתית פר חודש"/>
      <sheetName val="דוח למנהל ההשקעות"/>
      <sheetName val="מחקר"/>
      <sheetName val="ניתוח"/>
    </sheetNames>
    <sheetDataSet>
      <sheetData sheetId="0">
        <row r="3">
          <cell r="B3">
            <v>3.1</v>
          </cell>
        </row>
        <row r="7">
          <cell r="A7" t="str">
            <v>קרן השקעה</v>
          </cell>
          <cell r="B7" t="str">
            <v>שכיר</v>
          </cell>
          <cell r="C7" t="str">
            <v>עצמאי</v>
          </cell>
          <cell r="D7" t="str">
            <v>בעל שליטה</v>
          </cell>
          <cell r="F7" t="str">
            <v>שכיר</v>
          </cell>
          <cell r="G7">
            <v>2</v>
          </cell>
        </row>
        <row r="8">
          <cell r="A8">
            <v>10</v>
          </cell>
          <cell r="B8">
            <v>0.15</v>
          </cell>
          <cell r="C8">
            <v>0.15</v>
          </cell>
          <cell r="D8">
            <v>0.1</v>
          </cell>
          <cell r="F8" t="str">
            <v>עצמאי</v>
          </cell>
          <cell r="G8">
            <v>3</v>
          </cell>
        </row>
        <row r="9">
          <cell r="A9">
            <v>13</v>
          </cell>
          <cell r="B9">
            <v>0.23</v>
          </cell>
          <cell r="C9">
            <v>0.215</v>
          </cell>
          <cell r="D9">
            <v>0.215</v>
          </cell>
          <cell r="F9" t="str">
            <v>בעל שליטה</v>
          </cell>
          <cell r="G9">
            <v>4</v>
          </cell>
        </row>
        <row r="10">
          <cell r="A10">
            <v>14</v>
          </cell>
          <cell r="B10">
            <v>0.16</v>
          </cell>
          <cell r="C10">
            <v>0.15</v>
          </cell>
          <cell r="D10">
            <v>0.23</v>
          </cell>
        </row>
        <row r="11">
          <cell r="A11">
            <v>15</v>
          </cell>
          <cell r="B11">
            <v>0.215</v>
          </cell>
          <cell r="C11">
            <v>0.1</v>
          </cell>
          <cell r="D11">
            <v>0.25</v>
          </cell>
        </row>
        <row r="12">
          <cell r="A12">
            <v>12</v>
          </cell>
          <cell r="B12">
            <v>0.1</v>
          </cell>
          <cell r="C12">
            <v>0.15</v>
          </cell>
          <cell r="D12">
            <v>0.23</v>
          </cell>
        </row>
      </sheetData>
      <sheetData sheetId="1">
        <row r="2">
          <cell r="C2" t="str">
            <v>שכיר</v>
          </cell>
        </row>
        <row r="3">
          <cell r="C3" t="str">
            <v>עצמאי</v>
          </cell>
        </row>
        <row r="4">
          <cell r="C4" t="str">
            <v>שכיר</v>
          </cell>
        </row>
        <row r="5">
          <cell r="C5" t="str">
            <v>שכיר</v>
          </cell>
        </row>
        <row r="6">
          <cell r="C6" t="str">
            <v>שכיר</v>
          </cell>
        </row>
        <row r="7">
          <cell r="C7" t="str">
            <v>עצמאי</v>
          </cell>
        </row>
        <row r="8">
          <cell r="C8" t="str">
            <v>עצמאי</v>
          </cell>
        </row>
        <row r="9">
          <cell r="C9" t="str">
            <v>עצמאי</v>
          </cell>
        </row>
        <row r="10">
          <cell r="C10" t="str">
            <v>עצמאי</v>
          </cell>
        </row>
        <row r="11">
          <cell r="C11" t="str">
            <v>בעל שליטה</v>
          </cell>
        </row>
        <row r="12">
          <cell r="C12" t="str">
            <v>שכיר</v>
          </cell>
        </row>
        <row r="13">
          <cell r="C13" t="str">
            <v>שכיר</v>
          </cell>
        </row>
        <row r="14">
          <cell r="C14" t="str">
            <v>בעל שליטה</v>
          </cell>
        </row>
        <row r="15">
          <cell r="C15" t="str">
            <v>בעל שליטה</v>
          </cell>
        </row>
        <row r="16">
          <cell r="C16" t="str">
            <v>שכיר</v>
          </cell>
        </row>
        <row r="17">
          <cell r="C17" t="str">
            <v>שכיר</v>
          </cell>
        </row>
        <row r="18">
          <cell r="C18" t="str">
            <v>שכיר</v>
          </cell>
        </row>
        <row r="19">
          <cell r="C19" t="str">
            <v>שכיר</v>
          </cell>
        </row>
        <row r="20">
          <cell r="C20" t="str">
            <v>עצמאי</v>
          </cell>
        </row>
        <row r="21">
          <cell r="C21" t="str">
            <v>עצמאי</v>
          </cell>
        </row>
        <row r="22">
          <cell r="C22" t="str">
            <v>עצמאי</v>
          </cell>
        </row>
        <row r="23">
          <cell r="C23" t="str">
            <v>בעל שליטה</v>
          </cell>
        </row>
        <row r="24">
          <cell r="C24" t="str">
            <v>בעל שליטה</v>
          </cell>
        </row>
        <row r="25">
          <cell r="C25" t="str">
            <v>שכיר</v>
          </cell>
        </row>
        <row r="26">
          <cell r="C26" t="str">
            <v>בעל שליטה</v>
          </cell>
        </row>
      </sheetData>
      <sheetData sheetId="2" refreshError="1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נתונים נוספים"/>
      <sheetName val="גיליון1"/>
      <sheetName val="גיליון2"/>
      <sheetName val="לקוחות"/>
      <sheetName val="איש הקשר"/>
      <sheetName val="התפלגות לקוחות והכנסות"/>
      <sheetName val="דוח לקוחות"/>
    </sheetNames>
    <sheetDataSet>
      <sheetData sheetId="0" refreshError="1">
        <row r="3">
          <cell r="A3" t="str">
            <v>אנליסט</v>
          </cell>
          <cell r="B3">
            <v>22000</v>
          </cell>
          <cell r="C3">
            <v>500</v>
          </cell>
        </row>
        <row r="4">
          <cell r="A4" t="str">
            <v>שותף ניהול</v>
          </cell>
          <cell r="B4">
            <v>25000</v>
          </cell>
          <cell r="C4">
            <v>300</v>
          </cell>
        </row>
        <row r="5">
          <cell r="A5" t="str">
            <v>מנכ"ל</v>
          </cell>
          <cell r="B5">
            <v>13000</v>
          </cell>
          <cell r="C5">
            <v>750</v>
          </cell>
        </row>
        <row r="6">
          <cell r="A6" t="str">
            <v>יועץ</v>
          </cell>
          <cell r="B6">
            <v>12500</v>
          </cell>
          <cell r="C6">
            <v>250</v>
          </cell>
        </row>
        <row r="7">
          <cell r="A7" t="str">
            <v>מנהל מחלקת רכש</v>
          </cell>
          <cell r="B7">
            <v>10000</v>
          </cell>
          <cell r="C7">
            <v>550</v>
          </cell>
        </row>
        <row r="8">
          <cell r="A8" t="str">
            <v>מנהל</v>
          </cell>
          <cell r="B8">
            <v>15000</v>
          </cell>
          <cell r="C8">
            <v>400</v>
          </cell>
          <cell r="Q8" t="str">
            <v>רעננה</v>
          </cell>
          <cell r="R8">
            <v>2</v>
          </cell>
        </row>
        <row r="9">
          <cell r="A9" t="str">
            <v>רכש בכיר</v>
          </cell>
          <cell r="B9">
            <v>12000</v>
          </cell>
          <cell r="C9">
            <v>150</v>
          </cell>
          <cell r="Q9" t="str">
            <v>כפר סבא</v>
          </cell>
          <cell r="R9">
            <v>3</v>
          </cell>
        </row>
        <row r="10">
          <cell r="Q10" t="str">
            <v>חולון</v>
          </cell>
          <cell r="R10">
            <v>4</v>
          </cell>
        </row>
        <row r="11">
          <cell r="Q11" t="str">
            <v>ראשון לציון</v>
          </cell>
          <cell r="R11">
            <v>5</v>
          </cell>
        </row>
        <row r="12">
          <cell r="Q12" t="str">
            <v>רחובות</v>
          </cell>
          <cell r="R12">
            <v>6</v>
          </cell>
        </row>
        <row r="13">
          <cell r="Q13" t="str">
            <v>נס-ציונה</v>
          </cell>
          <cell r="R13">
            <v>7</v>
          </cell>
        </row>
        <row r="14">
          <cell r="A14" t="str">
            <v>רבעון 1</v>
          </cell>
          <cell r="B14" t="str">
            <v>מוצר חינם</v>
          </cell>
          <cell r="C14" t="str">
            <v>זיכוי ברכישה הבאה</v>
          </cell>
          <cell r="D14" t="str">
            <v>אין הטבה</v>
          </cell>
          <cell r="E14" t="str">
            <v>הנחה על הרכישה הבאה</v>
          </cell>
          <cell r="F14" t="str">
            <v>זיכוי ברכישה הבאה</v>
          </cell>
          <cell r="G14" t="str">
            <v>מוצר חינם</v>
          </cell>
          <cell r="H14" t="str">
            <v>זיכוי ברכישה הבאה</v>
          </cell>
          <cell r="I14" t="str">
            <v>הנחה על הרכישה הבאה</v>
          </cell>
          <cell r="J14" t="str">
            <v>אין הטבה</v>
          </cell>
          <cell r="K14" t="str">
            <v>זיכוי ברכישה הבאה</v>
          </cell>
          <cell r="L14" t="str">
            <v>אין הטבה</v>
          </cell>
          <cell r="M14" t="str">
            <v>הנחה על הרכישה הבאה</v>
          </cell>
          <cell r="Q14" t="str">
            <v>הרצליה</v>
          </cell>
          <cell r="R14">
            <v>8</v>
          </cell>
        </row>
        <row r="15">
          <cell r="A15" t="str">
            <v>רבעון 2</v>
          </cell>
          <cell r="B15" t="str">
            <v>הנחה על הרכישה הבאה</v>
          </cell>
          <cell r="C15" t="str">
            <v>זיכוי ברכישה הבאה</v>
          </cell>
          <cell r="D15" t="str">
            <v>הנחה על הרכישה הבאה</v>
          </cell>
          <cell r="E15" t="str">
            <v>מוצר חינם</v>
          </cell>
          <cell r="F15" t="str">
            <v>אין הטבה</v>
          </cell>
          <cell r="G15" t="str">
            <v>זיכוי ברכישה הבאה</v>
          </cell>
          <cell r="H15" t="str">
            <v>הנחה על הרכישה הבאה</v>
          </cell>
          <cell r="I15" t="str">
            <v>מוצר חינם</v>
          </cell>
          <cell r="J15" t="str">
            <v>זיכוי ברכישה הבאה</v>
          </cell>
          <cell r="K15" t="str">
            <v>הנחה על הרכישה הבאה</v>
          </cell>
          <cell r="L15" t="str">
            <v>מוצר חינם</v>
          </cell>
          <cell r="M15" t="str">
            <v>הנחה על הרכישה הבאה</v>
          </cell>
          <cell r="Q15" t="str">
            <v>יבנה</v>
          </cell>
          <cell r="R15">
            <v>9</v>
          </cell>
        </row>
        <row r="16">
          <cell r="A16" t="str">
            <v>רבעון 3</v>
          </cell>
          <cell r="B16" t="str">
            <v>אין הטבה</v>
          </cell>
          <cell r="C16" t="str">
            <v>הנחה על הרכישה הבאה</v>
          </cell>
          <cell r="D16" t="str">
            <v>מוצר חינם</v>
          </cell>
          <cell r="E16" t="str">
            <v>הנחה על הרכישה הבאה</v>
          </cell>
          <cell r="F16" t="str">
            <v>זיכוי ברכישה הבאה</v>
          </cell>
          <cell r="G16" t="str">
            <v>הנחה על הרכישה הבאה</v>
          </cell>
          <cell r="H16" t="str">
            <v>מוצר חינם</v>
          </cell>
          <cell r="I16" t="str">
            <v>זיכוי ברכישה הבאה</v>
          </cell>
          <cell r="J16" t="str">
            <v>זיכוי ברכישה הבאה</v>
          </cell>
          <cell r="K16" t="str">
            <v>מוצר חינם</v>
          </cell>
          <cell r="L16" t="str">
            <v>זיכוי ברכישה הבאה</v>
          </cell>
          <cell r="M16" t="str">
            <v>אין הטבה</v>
          </cell>
          <cell r="Q16" t="str">
            <v>ירושלים</v>
          </cell>
          <cell r="R16">
            <v>10</v>
          </cell>
        </row>
        <row r="17">
          <cell r="A17" t="str">
            <v>רבעון 4</v>
          </cell>
          <cell r="B17" t="str">
            <v>מוצר חינם</v>
          </cell>
          <cell r="C17" t="str">
            <v>הנחה על הרכישה הבאה</v>
          </cell>
          <cell r="D17" t="str">
            <v>זיכוי ברכישה הבאה</v>
          </cell>
          <cell r="E17" t="str">
            <v>זיכוי ברכישה הבאה</v>
          </cell>
          <cell r="F17" t="str">
            <v>הנחה על הרכישה הבאה</v>
          </cell>
          <cell r="G17" t="str">
            <v>מוצר חינם</v>
          </cell>
          <cell r="H17" t="str">
            <v>זיכוי ברכישה הבאה</v>
          </cell>
          <cell r="I17" t="str">
            <v>אין הטבה</v>
          </cell>
          <cell r="J17" t="str">
            <v>זיכוי ברכישה הבאה</v>
          </cell>
          <cell r="K17" t="str">
            <v>אין הטבה</v>
          </cell>
          <cell r="L17" t="str">
            <v>זיכוי ברכישה הבאה</v>
          </cell>
          <cell r="M17" t="str">
            <v>מוצר חינם</v>
          </cell>
          <cell r="Q17" t="str">
            <v>חיפה</v>
          </cell>
          <cell r="R17">
            <v>11</v>
          </cell>
        </row>
        <row r="18">
          <cell r="Q18" t="str">
            <v>באר שבע</v>
          </cell>
          <cell r="R18">
            <v>12</v>
          </cell>
        </row>
        <row r="19">
          <cell r="Q19" t="str">
            <v>קרית אתא</v>
          </cell>
          <cell r="R19">
            <v>13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8E78A2-DDC8-4178-837A-89DC8E1D2DC9}">
  <dimension ref="A1:Z77"/>
  <sheetViews>
    <sheetView rightToLeft="1" tabSelected="1" topLeftCell="E1" zoomScale="95" zoomScaleNormal="95" workbookViewId="0">
      <selection activeCell="H17" sqref="H17"/>
    </sheetView>
  </sheetViews>
  <sheetFormatPr defaultColWidth="19.3984375" defaultRowHeight="13.8" x14ac:dyDescent="0.25"/>
  <cols>
    <col min="1" max="1" width="8.5" style="3" customWidth="1"/>
    <col min="2" max="2" width="18.796875" style="3" bestFit="1" customWidth="1"/>
    <col min="3" max="3" width="14" style="16" customWidth="1"/>
    <col min="4" max="4" width="14.3984375" style="3" customWidth="1"/>
    <col min="5" max="5" width="16" style="14" customWidth="1"/>
    <col min="6" max="6" width="11" style="3" customWidth="1"/>
    <col min="7" max="7" width="14.796875" style="3" customWidth="1"/>
    <col min="8" max="8" width="12.8984375" style="3" customWidth="1"/>
    <col min="9" max="9" width="10.796875" style="3" customWidth="1"/>
    <col min="10" max="11" width="13.59765625" style="3" customWidth="1"/>
    <col min="12" max="12" width="13.09765625" style="3" customWidth="1"/>
    <col min="13" max="14" width="8.796875" style="3" customWidth="1"/>
    <col min="15" max="15" width="16.5" style="3" customWidth="1"/>
    <col min="16" max="16" width="8.796875" style="3" customWidth="1"/>
    <col min="17" max="17" width="14.796875" style="3" customWidth="1"/>
    <col min="18" max="18" width="17.5" style="3" customWidth="1"/>
    <col min="19" max="19" width="8.796875" style="3" customWidth="1"/>
    <col min="20" max="20" width="13.59765625" style="3" customWidth="1"/>
    <col min="21" max="21" width="21.59765625" style="3" customWidth="1"/>
    <col min="22" max="16384" width="19.3984375" style="3"/>
  </cols>
  <sheetData>
    <row r="1" spans="1:23" ht="28.2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98" t="s">
        <v>6</v>
      </c>
      <c r="H1" s="198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/>
      <c r="Q1" s="1"/>
      <c r="R1" s="1"/>
      <c r="S1" s="1"/>
      <c r="T1" s="1"/>
      <c r="U1" s="189"/>
      <c r="V1" s="189"/>
      <c r="W1" s="189"/>
    </row>
    <row r="2" spans="1:23" x14ac:dyDescent="0.25">
      <c r="A2" s="4">
        <v>127</v>
      </c>
      <c r="B2" s="5" t="s">
        <v>15</v>
      </c>
      <c r="C2" s="6" t="s">
        <v>16</v>
      </c>
      <c r="D2" s="7">
        <v>33229</v>
      </c>
      <c r="E2" s="8">
        <v>44656</v>
      </c>
      <c r="F2" s="4" t="s">
        <v>17</v>
      </c>
      <c r="G2" s="4" t="s">
        <v>18</v>
      </c>
      <c r="H2" s="9">
        <v>5097</v>
      </c>
      <c r="I2" s="10">
        <f>VLOOKUP(G2,'[1]נתונים נוספים'!$B$5:$C$9,2,FALSE)*$V$2+H2</f>
        <v>6937</v>
      </c>
      <c r="J2" s="11">
        <f ca="1">IF(AND(OR(G2=$V$33,G2=$V$34,G2=$V$35),OR(F2=$U$33,F2=$U$34)),DATE(YEAR(D2)+$U$36,MONTH(D2),DAY(D2)),IF((YEAR(E2)-YEAR(D2))&gt;$U$37,DATE(YEAR(TODAY())+$U$38,MONTH(TODAY()),DAY(TODAY())),DATE(YEAR(D2)+$U$39,MONTH(D2),DAY(D2))))</f>
        <v>58797</v>
      </c>
      <c r="K2" s="12">
        <f ca="1">MONTH(J2)</f>
        <v>12</v>
      </c>
      <c r="L2" s="11" t="str">
        <f ca="1">IF(OR(TEXT(J2,"DDDD")=$U$42,TEXT(J2,"DDDD")=$U$43),$U$44,TEXT(J2,"DDDD"))</f>
        <v>יום רביעי</v>
      </c>
      <c r="M2" s="12">
        <f ca="1">YEAR(TODAY())-YEAR(E2)</f>
        <v>4</v>
      </c>
      <c r="N2" s="13">
        <f>I2-IF(OR(F2=$U$54,F2=$U$55),VLOOKUP(I2,$V$54:$W$59,2,TRUE),IF(F2=$U$61,VLOOKUP(I2,$V$61:$W$62,2,TRUE),$W$64))*I2</f>
        <v>6243.3</v>
      </c>
      <c r="O2" s="12" t="str">
        <f>IF(AND(G2=$U$67,H2&lt;=$V$67),$W$67,IF(AND(G2=$U$67,H2&gt;$V$67),$W$68,IF(AND(G2=$U$70,YEAR(E2)&lt;=$V$70),$W$70,IF(AND(G2=$U$70,YEAR(E2)&gt;$V$70,YEAR(E2)&lt;=$V$72),$W$72,IF(AND(G2=$U$70,YEAR(E2)&gt;$V$72),$W$73,$W$75)))))</f>
        <v>קורס קניינות ברשת</v>
      </c>
      <c r="Q2" s="4"/>
      <c r="S2" s="12"/>
      <c r="T2" s="11"/>
      <c r="U2" s="195" t="s">
        <v>19</v>
      </c>
      <c r="V2" s="195">
        <v>80</v>
      </c>
      <c r="W2" s="189"/>
    </row>
    <row r="3" spans="1:23" x14ac:dyDescent="0.25">
      <c r="A3" s="4">
        <v>139</v>
      </c>
      <c r="B3" s="5" t="s">
        <v>20</v>
      </c>
      <c r="C3" s="6" t="s">
        <v>21</v>
      </c>
      <c r="D3" s="7">
        <v>33220</v>
      </c>
      <c r="E3" s="8">
        <v>44879</v>
      </c>
      <c r="F3" s="4" t="s">
        <v>22</v>
      </c>
      <c r="G3" s="4" t="s">
        <v>23</v>
      </c>
      <c r="H3" s="9">
        <v>7927</v>
      </c>
      <c r="I3" s="10">
        <f>VLOOKUP(G3,'[1]נתונים נוספים'!$B$5:$C$9,2,FALSE)*$V$2+H3</f>
        <v>9367</v>
      </c>
      <c r="J3" s="11">
        <f t="shared" ref="J3:J60" ca="1" si="0">IF(AND(OR(G3=$V$33,G3=$V$34,G3=$V$35),OR(F3=$U$33,F3=$U$34)),DATE(YEAR(D3)+$U$36,MONTH(D3),DAY(D3)),IF((YEAR(E3)-YEAR(D3))&gt;$U$37,DATE(YEAR(TODAY())+$U$38,MONTH(TODAY()),DAY(TODAY())),DATE(YEAR(D3)+$U$39,MONTH(D3),DAY(D3))))</f>
        <v>57692</v>
      </c>
      <c r="K3" s="12">
        <f t="shared" ref="K3:K60" ca="1" si="1">MONTH(J3)</f>
        <v>12</v>
      </c>
      <c r="L3" s="11" t="str">
        <f t="shared" ref="L3:L60" ca="1" si="2">IF(OR(TEXT(J3,"DDDD")=$U$42,TEXT(J3,"DDDD")=$U$43),$U$44,TEXT(J3,"DDDD"))</f>
        <v>יום חמישי</v>
      </c>
      <c r="M3" s="12">
        <f t="shared" ref="M3:M60" ca="1" si="3">YEAR(TODAY())-YEAR(E3)</f>
        <v>4</v>
      </c>
      <c r="N3" s="13">
        <f t="shared" ref="N3:N60" si="4">I3-IF(OR(F3=$U$54,F3=$U$55),VLOOKUP(I3,$V$54:$W$59,2,TRUE),IF(F3=$U$61,VLOOKUP(I3,$V$61:$W$62,2,TRUE),$W$64))*I3</f>
        <v>7493.6</v>
      </c>
      <c r="O3" s="12" t="str">
        <f t="shared" ref="O3:O60" si="5">IF(AND(G3=$U$67,H3&lt;=$V$67),$W$67,IF(AND(G3=$U$67,H3&gt;$V$67),$W$68,IF(AND(G3=$U$70,YEAR(E3)&lt;=$V$70),$W$70,IF(AND(G3=$U$70,YEAR(E3)&gt;$V$70,YEAR(E3)&lt;=$V$72),$W$72,IF(AND(G3=$U$70,YEAR(E3)&gt;$V$72),$W$73,$W$75)))))</f>
        <v>קורס קניינות ברשת</v>
      </c>
      <c r="Q3" s="4"/>
      <c r="S3" s="12"/>
      <c r="T3" s="11"/>
      <c r="U3" s="189"/>
      <c r="V3" s="189"/>
      <c r="W3" s="189"/>
    </row>
    <row r="4" spans="1:23" x14ac:dyDescent="0.25">
      <c r="A4" s="4">
        <v>9</v>
      </c>
      <c r="B4" s="5" t="s">
        <v>24</v>
      </c>
      <c r="C4" s="6" t="s">
        <v>25</v>
      </c>
      <c r="D4" s="7">
        <v>33193</v>
      </c>
      <c r="E4" s="8">
        <v>43444</v>
      </c>
      <c r="F4" s="4" t="s">
        <v>26</v>
      </c>
      <c r="G4" s="4" t="s">
        <v>27</v>
      </c>
      <c r="H4" s="9">
        <v>5467</v>
      </c>
      <c r="I4" s="10">
        <f>VLOOKUP(G4,'[1]נתונים נוספים'!$B$5:$C$9,2,FALSE)*$V$2+H4</f>
        <v>6667</v>
      </c>
      <c r="J4" s="11">
        <f t="shared" ca="1" si="0"/>
        <v>58761</v>
      </c>
      <c r="K4" s="12">
        <f t="shared" ca="1" si="1"/>
        <v>11</v>
      </c>
      <c r="L4" s="11" t="str">
        <f t="shared" ca="1" si="2"/>
        <v>יום שלישי</v>
      </c>
      <c r="M4" s="12">
        <f t="shared" ca="1" si="3"/>
        <v>8</v>
      </c>
      <c r="N4" s="13">
        <f t="shared" si="4"/>
        <v>6000.3</v>
      </c>
      <c r="O4" s="12" t="str">
        <f t="shared" si="5"/>
        <v>קורס BI</v>
      </c>
      <c r="Q4" s="4"/>
      <c r="S4" s="12"/>
      <c r="T4" s="11"/>
      <c r="U4" s="189"/>
      <c r="V4" s="189"/>
      <c r="W4" s="189"/>
    </row>
    <row r="5" spans="1:23" x14ac:dyDescent="0.25">
      <c r="A5" s="4">
        <v>280</v>
      </c>
      <c r="B5" s="5" t="s">
        <v>28</v>
      </c>
      <c r="C5" s="6" t="s">
        <v>29</v>
      </c>
      <c r="D5" s="7">
        <v>33164</v>
      </c>
      <c r="E5" s="8">
        <v>44738</v>
      </c>
      <c r="F5" s="4" t="s">
        <v>17</v>
      </c>
      <c r="G5" s="4" t="s">
        <v>30</v>
      </c>
      <c r="H5" s="9">
        <v>8782</v>
      </c>
      <c r="I5" s="10">
        <f>VLOOKUP(G5,'[1]נתונים נוספים'!$B$5:$C$9,2,FALSE)*$V$2+H5</f>
        <v>9742</v>
      </c>
      <c r="J5" s="11">
        <f t="shared" ca="1" si="0"/>
        <v>57636</v>
      </c>
      <c r="K5" s="12">
        <f t="shared" ca="1" si="1"/>
        <v>10</v>
      </c>
      <c r="L5" s="11" t="str">
        <f t="shared" ca="1" si="2"/>
        <v>יום חמישי</v>
      </c>
      <c r="M5" s="12">
        <f t="shared" ca="1" si="3"/>
        <v>4</v>
      </c>
      <c r="N5" s="13">
        <f t="shared" si="4"/>
        <v>6819.4</v>
      </c>
      <c r="O5" s="12" t="str">
        <f t="shared" si="5"/>
        <v>קורס קניינות ברשת</v>
      </c>
      <c r="Q5" s="4"/>
      <c r="S5" s="12"/>
      <c r="T5" s="11"/>
      <c r="U5" s="189"/>
      <c r="V5" s="189"/>
      <c r="W5" s="189"/>
    </row>
    <row r="6" spans="1:23" x14ac:dyDescent="0.25">
      <c r="A6" s="4">
        <v>7</v>
      </c>
      <c r="B6" s="5" t="s">
        <v>31</v>
      </c>
      <c r="C6" s="6" t="s">
        <v>32</v>
      </c>
      <c r="D6" s="7">
        <v>33030</v>
      </c>
      <c r="E6" s="8">
        <v>44183</v>
      </c>
      <c r="F6" s="4" t="s">
        <v>17</v>
      </c>
      <c r="G6" s="4" t="s">
        <v>27</v>
      </c>
      <c r="H6" s="9">
        <v>4989</v>
      </c>
      <c r="I6" s="10">
        <f>VLOOKUP(G6,'[1]נתונים נוספים'!$B$5:$C$9,2,FALSE)*$V$2+H6</f>
        <v>6189</v>
      </c>
      <c r="J6" s="11">
        <f t="shared" ca="1" si="0"/>
        <v>58598</v>
      </c>
      <c r="K6" s="12">
        <f t="shared" ca="1" si="1"/>
        <v>6</v>
      </c>
      <c r="L6" s="11" t="str">
        <f t="shared" ca="1" si="2"/>
        <v>יקבע מועד אחר</v>
      </c>
      <c r="M6" s="12">
        <f t="shared" ca="1" si="3"/>
        <v>6</v>
      </c>
      <c r="N6" s="13">
        <f t="shared" si="4"/>
        <v>5570.1</v>
      </c>
      <c r="O6" s="12" t="str">
        <f t="shared" si="5"/>
        <v>קורס AI</v>
      </c>
      <c r="Q6" s="4"/>
      <c r="S6" s="12"/>
      <c r="T6" s="11"/>
      <c r="U6" s="189"/>
      <c r="V6" s="192" t="s">
        <v>5</v>
      </c>
      <c r="W6" s="189"/>
    </row>
    <row r="7" spans="1:23" x14ac:dyDescent="0.25">
      <c r="A7" s="4">
        <v>218</v>
      </c>
      <c r="B7" s="5" t="s">
        <v>33</v>
      </c>
      <c r="C7" s="6" t="s">
        <v>34</v>
      </c>
      <c r="D7" s="7">
        <v>33030</v>
      </c>
      <c r="E7" s="8">
        <v>44641</v>
      </c>
      <c r="F7" s="4" t="s">
        <v>26</v>
      </c>
      <c r="G7" s="4" t="s">
        <v>23</v>
      </c>
      <c r="H7" s="9">
        <v>8909</v>
      </c>
      <c r="I7" s="10">
        <f>VLOOKUP(G7,'[1]נתונים נוספים'!$B$5:$C$9,2,FALSE)*$V$2+H7</f>
        <v>10349</v>
      </c>
      <c r="J7" s="11">
        <f t="shared" ca="1" si="0"/>
        <v>58598</v>
      </c>
      <c r="K7" s="12">
        <f t="shared" ca="1" si="1"/>
        <v>6</v>
      </c>
      <c r="L7" s="11" t="str">
        <f t="shared" ca="1" si="2"/>
        <v>יקבע מועד אחר</v>
      </c>
      <c r="M7" s="12">
        <f t="shared" ca="1" si="3"/>
        <v>4</v>
      </c>
      <c r="N7" s="13">
        <f t="shared" si="4"/>
        <v>6209.4</v>
      </c>
      <c r="O7" s="12" t="str">
        <f t="shared" si="5"/>
        <v>קורס קניינות ברשת</v>
      </c>
      <c r="Q7"/>
      <c r="S7" s="12" t="s">
        <v>118</v>
      </c>
      <c r="T7" s="11"/>
      <c r="U7" s="189"/>
      <c r="V7" s="189" t="s">
        <v>17</v>
      </c>
      <c r="W7" s="189"/>
    </row>
    <row r="8" spans="1:23" x14ac:dyDescent="0.25">
      <c r="A8" s="4">
        <v>11</v>
      </c>
      <c r="B8" s="5" t="s">
        <v>35</v>
      </c>
      <c r="C8" s="6" t="s">
        <v>36</v>
      </c>
      <c r="D8" s="7">
        <v>32980</v>
      </c>
      <c r="E8" s="8">
        <v>41434</v>
      </c>
      <c r="F8" s="4" t="s">
        <v>26</v>
      </c>
      <c r="G8" s="4" t="s">
        <v>18</v>
      </c>
      <c r="H8" s="9">
        <v>9744</v>
      </c>
      <c r="I8" s="10">
        <f>VLOOKUP(G8,'[1]נתונים נוספים'!$B$5:$C$9,2,FALSE)*$V$2+H8</f>
        <v>11584</v>
      </c>
      <c r="J8" s="11">
        <f t="shared" ca="1" si="0"/>
        <v>58548</v>
      </c>
      <c r="K8" s="12">
        <f t="shared" ca="1" si="1"/>
        <v>4</v>
      </c>
      <c r="L8" s="11" t="str">
        <f t="shared" ca="1" si="2"/>
        <v>יקבע מועד אחר</v>
      </c>
      <c r="M8" s="12">
        <f t="shared" ca="1" si="3"/>
        <v>13</v>
      </c>
      <c r="N8" s="13">
        <f t="shared" si="4"/>
        <v>6950.4</v>
      </c>
      <c r="O8" s="12" t="str">
        <f t="shared" si="5"/>
        <v>קורס קניינות ברשת</v>
      </c>
      <c r="Q8"/>
      <c r="S8" s="12"/>
      <c r="T8" s="11"/>
      <c r="U8" s="189"/>
      <c r="V8" s="189"/>
      <c r="W8" s="189"/>
    </row>
    <row r="9" spans="1:23" x14ac:dyDescent="0.25">
      <c r="A9" s="4">
        <v>10</v>
      </c>
      <c r="B9" s="5" t="s">
        <v>37</v>
      </c>
      <c r="C9" s="6" t="s">
        <v>38</v>
      </c>
      <c r="D9" s="7">
        <v>32933</v>
      </c>
      <c r="E9" s="8">
        <v>44678</v>
      </c>
      <c r="F9" s="4" t="s">
        <v>17</v>
      </c>
      <c r="G9" s="4" t="s">
        <v>23</v>
      </c>
      <c r="H9" s="9">
        <v>4104</v>
      </c>
      <c r="I9" s="10">
        <f>VLOOKUP(G9,'[1]נתונים נוספים'!$B$5:$C$9,2,FALSE)*$V$2+H9</f>
        <v>5544</v>
      </c>
      <c r="J9" s="11">
        <f t="shared" ca="1" si="0"/>
        <v>58501</v>
      </c>
      <c r="K9" s="12">
        <f t="shared" ca="1" si="1"/>
        <v>3</v>
      </c>
      <c r="L9" s="11" t="str">
        <f t="shared" ca="1" si="2"/>
        <v>יום שני</v>
      </c>
      <c r="M9" s="12">
        <f t="shared" ca="1" si="3"/>
        <v>4</v>
      </c>
      <c r="N9" s="13">
        <f t="shared" si="4"/>
        <v>5544</v>
      </c>
      <c r="O9" s="12" t="str">
        <f t="shared" si="5"/>
        <v>קורס קניינות ברשת</v>
      </c>
      <c r="Q9"/>
      <c r="T9" s="11"/>
      <c r="U9" s="257" t="s">
        <v>39</v>
      </c>
      <c r="V9" s="257"/>
      <c r="W9" s="189">
        <f>DSUM(A1:I60,I1,V6:V7)</f>
        <v>98074</v>
      </c>
    </row>
    <row r="10" spans="1:23" x14ac:dyDescent="0.25">
      <c r="A10" s="4">
        <v>4</v>
      </c>
      <c r="B10" s="5" t="s">
        <v>40</v>
      </c>
      <c r="C10" s="6" t="s">
        <v>41</v>
      </c>
      <c r="D10" s="7">
        <v>32883</v>
      </c>
      <c r="E10" s="8">
        <v>44579</v>
      </c>
      <c r="F10" s="4" t="s">
        <v>26</v>
      </c>
      <c r="G10" s="4" t="s">
        <v>23</v>
      </c>
      <c r="H10" s="9">
        <v>9581</v>
      </c>
      <c r="I10" s="10">
        <f>VLOOKUP(G10,'[1]נתונים נוספים'!$B$5:$C$9,2,FALSE)*$V$2+H10</f>
        <v>11021</v>
      </c>
      <c r="J10" s="11">
        <f t="shared" ca="1" si="0"/>
        <v>58450</v>
      </c>
      <c r="K10" s="12">
        <f t="shared" ca="1" si="1"/>
        <v>1</v>
      </c>
      <c r="L10" s="11" t="str">
        <f t="shared" ca="1" si="2"/>
        <v>יקבע מועד אחר</v>
      </c>
      <c r="M10" s="12">
        <f t="shared" ca="1" si="3"/>
        <v>4</v>
      </c>
      <c r="N10" s="13">
        <f t="shared" si="4"/>
        <v>6612.5999999999995</v>
      </c>
      <c r="O10" s="12" t="str">
        <f t="shared" si="5"/>
        <v>קורס קניינות ברשת</v>
      </c>
      <c r="Q10"/>
      <c r="S10" s="12"/>
      <c r="T10" s="11"/>
      <c r="U10" s="189"/>
      <c r="V10" s="189"/>
      <c r="W10" s="189"/>
    </row>
    <row r="11" spans="1:23" x14ac:dyDescent="0.25">
      <c r="A11" s="4">
        <v>246</v>
      </c>
      <c r="B11" s="5" t="s">
        <v>42</v>
      </c>
      <c r="C11" s="6" t="s">
        <v>41</v>
      </c>
      <c r="D11" s="7">
        <v>32835</v>
      </c>
      <c r="E11" s="8">
        <v>40700</v>
      </c>
      <c r="F11" s="4" t="s">
        <v>17</v>
      </c>
      <c r="G11" s="4" t="s">
        <v>30</v>
      </c>
      <c r="H11" s="9">
        <v>9967</v>
      </c>
      <c r="I11" s="10">
        <f>VLOOKUP(G11,'[1]נתונים נוספים'!$B$5:$C$9,2,FALSE)*$V$2+H11</f>
        <v>10927</v>
      </c>
      <c r="J11" s="11">
        <f t="shared" ca="1" si="0"/>
        <v>57307</v>
      </c>
      <c r="K11" s="12">
        <f t="shared" ca="1" si="1"/>
        <v>11</v>
      </c>
      <c r="L11" s="11" t="str">
        <f t="shared" ca="1" si="2"/>
        <v>יום חמישי</v>
      </c>
      <c r="M11" s="12">
        <f t="shared" ca="1" si="3"/>
        <v>15</v>
      </c>
      <c r="N11" s="13">
        <f t="shared" si="4"/>
        <v>6556.2</v>
      </c>
      <c r="O11" s="12" t="str">
        <f t="shared" si="5"/>
        <v>קורס קניינות ברשת</v>
      </c>
      <c r="Q11"/>
      <c r="S11" s="12"/>
      <c r="T11" s="11"/>
      <c r="U11" s="196" t="s">
        <v>43</v>
      </c>
      <c r="V11" s="197">
        <f>W9</f>
        <v>98074</v>
      </c>
      <c r="W11" s="189"/>
    </row>
    <row r="12" spans="1:23" x14ac:dyDescent="0.25">
      <c r="A12" s="4">
        <v>245</v>
      </c>
      <c r="B12" s="5" t="s">
        <v>44</v>
      </c>
      <c r="C12" s="6" t="s">
        <v>41</v>
      </c>
      <c r="D12" s="7">
        <v>32813</v>
      </c>
      <c r="E12" s="8">
        <v>40935</v>
      </c>
      <c r="F12" s="4" t="s">
        <v>26</v>
      </c>
      <c r="G12" s="4" t="s">
        <v>30</v>
      </c>
      <c r="H12" s="9">
        <v>6852</v>
      </c>
      <c r="I12" s="10">
        <f>VLOOKUP(G12,'[1]נתונים נוספים'!$B$5:$C$9,2,FALSE)*$V$2+H12</f>
        <v>7812</v>
      </c>
      <c r="J12" s="11">
        <f t="shared" ca="1" si="0"/>
        <v>57285</v>
      </c>
      <c r="K12" s="12">
        <f t="shared" ca="1" si="1"/>
        <v>11</v>
      </c>
      <c r="L12" s="11" t="str">
        <f t="shared" ca="1" si="2"/>
        <v>יום רביעי</v>
      </c>
      <c r="M12" s="12">
        <f t="shared" ca="1" si="3"/>
        <v>14</v>
      </c>
      <c r="N12" s="13">
        <f t="shared" si="4"/>
        <v>6718.32</v>
      </c>
      <c r="O12" s="12" t="str">
        <f t="shared" si="5"/>
        <v>קורס קניינות ברשת</v>
      </c>
      <c r="Q12"/>
      <c r="S12" s="12"/>
      <c r="T12" s="11"/>
      <c r="U12" s="189">
        <v>70</v>
      </c>
      <c r="V12" s="197">
        <f t="dataTable" ref="V12:V22" dt2D="0" dtr="0" r1="V2"/>
        <v>96254</v>
      </c>
      <c r="W12" s="189"/>
    </row>
    <row r="13" spans="1:23" x14ac:dyDescent="0.25">
      <c r="A13" s="4">
        <v>276</v>
      </c>
      <c r="B13" s="5" t="s">
        <v>45</v>
      </c>
      <c r="C13" s="6" t="s">
        <v>46</v>
      </c>
      <c r="D13" s="7">
        <v>32778</v>
      </c>
      <c r="E13" s="8">
        <v>40745</v>
      </c>
      <c r="F13" s="4" t="s">
        <v>47</v>
      </c>
      <c r="G13" s="4" t="s">
        <v>27</v>
      </c>
      <c r="H13" s="9">
        <v>6285</v>
      </c>
      <c r="I13" s="10">
        <f>VLOOKUP(G13,'[1]נתונים נוספים'!$B$5:$C$9,2,FALSE)*$V$2+H13</f>
        <v>7485</v>
      </c>
      <c r="J13" s="11">
        <f t="shared" ca="1" si="0"/>
        <v>57250</v>
      </c>
      <c r="K13" s="12">
        <f t="shared" ca="1" si="1"/>
        <v>9</v>
      </c>
      <c r="L13" s="11" t="str">
        <f t="shared" ca="1" si="2"/>
        <v>יום רביעי</v>
      </c>
      <c r="M13" s="12">
        <f t="shared" ca="1" si="3"/>
        <v>15</v>
      </c>
      <c r="N13" s="13">
        <f t="shared" si="4"/>
        <v>5613.75</v>
      </c>
      <c r="O13" s="12" t="str">
        <f t="shared" si="5"/>
        <v>קורס BI</v>
      </c>
      <c r="Q13"/>
      <c r="T13" s="11"/>
      <c r="U13" s="189">
        <v>75</v>
      </c>
      <c r="V13" s="197">
        <v>97164</v>
      </c>
      <c r="W13" s="189"/>
    </row>
    <row r="14" spans="1:23" x14ac:dyDescent="0.25">
      <c r="A14" s="4">
        <v>48</v>
      </c>
      <c r="B14" s="5" t="s">
        <v>48</v>
      </c>
      <c r="C14" s="6" t="s">
        <v>25</v>
      </c>
      <c r="D14" s="7">
        <v>32729</v>
      </c>
      <c r="E14" s="8">
        <v>40562</v>
      </c>
      <c r="F14" s="4" t="s">
        <v>47</v>
      </c>
      <c r="G14" s="4" t="s">
        <v>49</v>
      </c>
      <c r="H14" s="9">
        <v>4868</v>
      </c>
      <c r="I14" s="10">
        <f>VLOOKUP(G14,'[1]נתונים נוספים'!$B$5:$C$9,2,FALSE)*$V$2+H14</f>
        <v>5668</v>
      </c>
      <c r="J14" s="11">
        <f t="shared" ca="1" si="0"/>
        <v>57201</v>
      </c>
      <c r="K14" s="12">
        <f t="shared" ca="1" si="1"/>
        <v>8</v>
      </c>
      <c r="L14" s="11" t="str">
        <f t="shared" ca="1" si="2"/>
        <v>יום רביעי</v>
      </c>
      <c r="M14" s="12">
        <f t="shared" ca="1" si="3"/>
        <v>15</v>
      </c>
      <c r="N14" s="13">
        <f t="shared" si="4"/>
        <v>4251</v>
      </c>
      <c r="O14" s="12" t="str">
        <f t="shared" si="5"/>
        <v>קורס מחשבים כולל</v>
      </c>
      <c r="P14" s="12"/>
      <c r="Q14"/>
      <c r="R14" s="12"/>
      <c r="S14" s="12"/>
      <c r="T14" s="11"/>
      <c r="U14" s="189">
        <v>80</v>
      </c>
      <c r="V14" s="197">
        <v>98074</v>
      </c>
      <c r="W14" s="189"/>
    </row>
    <row r="15" spans="1:23" x14ac:dyDescent="0.25">
      <c r="A15" s="4">
        <v>95</v>
      </c>
      <c r="B15" s="5" t="s">
        <v>50</v>
      </c>
      <c r="C15" s="6" t="s">
        <v>36</v>
      </c>
      <c r="D15" s="7">
        <v>32720</v>
      </c>
      <c r="E15" s="8">
        <v>40806</v>
      </c>
      <c r="F15" s="4" t="s">
        <v>26</v>
      </c>
      <c r="G15" s="4" t="s">
        <v>23</v>
      </c>
      <c r="H15" s="9">
        <v>4075</v>
      </c>
      <c r="I15" s="10">
        <f>VLOOKUP(G15,'[1]נתונים נוספים'!$B$5:$C$9,2,FALSE)*$V$2+H15</f>
        <v>5515</v>
      </c>
      <c r="J15" s="11">
        <f t="shared" ca="1" si="0"/>
        <v>58287</v>
      </c>
      <c r="K15" s="12">
        <f t="shared" ca="1" si="1"/>
        <v>7</v>
      </c>
      <c r="L15" s="11" t="str">
        <f t="shared" ca="1" si="2"/>
        <v>יום חמישי</v>
      </c>
      <c r="M15" s="12">
        <f t="shared" ca="1" si="3"/>
        <v>15</v>
      </c>
      <c r="N15" s="13">
        <f t="shared" si="4"/>
        <v>5515</v>
      </c>
      <c r="O15" s="12" t="str">
        <f t="shared" si="5"/>
        <v>קורס קניינות ברשת</v>
      </c>
      <c r="P15" s="12"/>
      <c r="Q15"/>
      <c r="R15" s="12"/>
      <c r="S15" s="12"/>
      <c r="T15" s="11"/>
      <c r="U15" s="189">
        <v>85</v>
      </c>
      <c r="V15" s="197">
        <v>98984</v>
      </c>
      <c r="W15" s="189"/>
    </row>
    <row r="16" spans="1:23" x14ac:dyDescent="0.25">
      <c r="A16" s="4">
        <v>59</v>
      </c>
      <c r="B16" s="5" t="s">
        <v>51</v>
      </c>
      <c r="C16" s="6" t="s">
        <v>52</v>
      </c>
      <c r="D16" s="7">
        <v>32683</v>
      </c>
      <c r="E16" s="8">
        <v>41076</v>
      </c>
      <c r="F16" s="4" t="s">
        <v>22</v>
      </c>
      <c r="G16" s="4" t="s">
        <v>23</v>
      </c>
      <c r="H16" s="9">
        <v>6195</v>
      </c>
      <c r="I16" s="10">
        <f>VLOOKUP(G16,'[1]נתונים נוספים'!$B$5:$C$9,2,FALSE)*$V$2+H16</f>
        <v>7635</v>
      </c>
      <c r="J16" s="11">
        <f t="shared" ca="1" si="0"/>
        <v>57155</v>
      </c>
      <c r="K16" s="12">
        <f t="shared" ca="1" si="1"/>
        <v>6</v>
      </c>
      <c r="L16" s="11" t="str">
        <f t="shared" ca="1" si="2"/>
        <v>יקבע מועד אחר</v>
      </c>
      <c r="M16" s="12">
        <f t="shared" ca="1" si="3"/>
        <v>14</v>
      </c>
      <c r="N16" s="13">
        <f t="shared" si="4"/>
        <v>6108</v>
      </c>
      <c r="O16" s="12" t="str">
        <f t="shared" si="5"/>
        <v>קורס קניינות ברשת</v>
      </c>
      <c r="P16" s="12"/>
      <c r="Q16"/>
      <c r="S16" s="12"/>
      <c r="T16" s="11"/>
      <c r="U16" s="189">
        <v>90</v>
      </c>
      <c r="V16" s="197">
        <v>99894</v>
      </c>
      <c r="W16" s="189"/>
    </row>
    <row r="17" spans="1:23" x14ac:dyDescent="0.25">
      <c r="A17" s="4">
        <v>173</v>
      </c>
      <c r="B17" s="5" t="s">
        <v>53</v>
      </c>
      <c r="C17" s="6" t="s">
        <v>54</v>
      </c>
      <c r="D17" s="7">
        <v>32651</v>
      </c>
      <c r="E17" s="8">
        <v>40938</v>
      </c>
      <c r="F17" s="4" t="s">
        <v>17</v>
      </c>
      <c r="G17" s="4" t="s">
        <v>49</v>
      </c>
      <c r="H17" s="9">
        <v>8648</v>
      </c>
      <c r="I17" s="10">
        <f>VLOOKUP(G17,'[1]נתונים נוספים'!$B$5:$C$9,2,FALSE)*$V$2+H17</f>
        <v>9448</v>
      </c>
      <c r="J17" s="11">
        <f t="shared" ca="1" si="0"/>
        <v>57123</v>
      </c>
      <c r="K17" s="12">
        <f t="shared" ca="1" si="1"/>
        <v>5</v>
      </c>
      <c r="L17" s="11" t="str">
        <f t="shared" ca="1" si="2"/>
        <v>יום שלישי</v>
      </c>
      <c r="M17" s="12">
        <f t="shared" ca="1" si="3"/>
        <v>14</v>
      </c>
      <c r="N17" s="13">
        <f t="shared" si="4"/>
        <v>6613.6</v>
      </c>
      <c r="O17" s="12" t="str">
        <f t="shared" si="5"/>
        <v>ניהול טכנולוגי</v>
      </c>
      <c r="P17" s="12"/>
      <c r="Q17"/>
      <c r="R17" s="12"/>
      <c r="S17" s="12"/>
      <c r="T17" s="11"/>
      <c r="U17" s="189">
        <v>95</v>
      </c>
      <c r="V17" s="197">
        <v>100804</v>
      </c>
      <c r="W17" s="189"/>
    </row>
    <row r="18" spans="1:23" x14ac:dyDescent="0.25">
      <c r="A18" s="4">
        <v>105</v>
      </c>
      <c r="B18" s="5" t="s">
        <v>55</v>
      </c>
      <c r="C18" s="6" t="s">
        <v>56</v>
      </c>
      <c r="D18" s="7">
        <v>32617</v>
      </c>
      <c r="E18" s="8">
        <v>40590</v>
      </c>
      <c r="F18" s="4" t="s">
        <v>47</v>
      </c>
      <c r="G18" s="4" t="s">
        <v>27</v>
      </c>
      <c r="H18" s="9">
        <v>4341</v>
      </c>
      <c r="I18" s="10">
        <f>VLOOKUP(G18,'[1]נתונים נוספים'!$B$5:$C$9,2,FALSE)*$V$2+H18</f>
        <v>5541</v>
      </c>
      <c r="J18" s="11">
        <f t="shared" ca="1" si="0"/>
        <v>57089</v>
      </c>
      <c r="K18" s="12">
        <f t="shared" ca="1" si="1"/>
        <v>4</v>
      </c>
      <c r="L18" s="11" t="str">
        <f t="shared" ca="1" si="2"/>
        <v>יום רביעי</v>
      </c>
      <c r="M18" s="12">
        <f t="shared" ca="1" si="3"/>
        <v>15</v>
      </c>
      <c r="N18" s="13">
        <f t="shared" si="4"/>
        <v>4155.75</v>
      </c>
      <c r="O18" s="12" t="str">
        <f t="shared" si="5"/>
        <v>קורס AI</v>
      </c>
      <c r="P18" s="12"/>
      <c r="Q18"/>
      <c r="R18" s="12"/>
      <c r="S18" s="12"/>
      <c r="T18" s="11"/>
      <c r="U18" s="189">
        <v>100</v>
      </c>
      <c r="V18" s="197">
        <v>101714</v>
      </c>
      <c r="W18" s="189"/>
    </row>
    <row r="19" spans="1:23" x14ac:dyDescent="0.25">
      <c r="A19" s="4">
        <v>26</v>
      </c>
      <c r="B19" s="5" t="s">
        <v>57</v>
      </c>
      <c r="C19" s="6" t="s">
        <v>32</v>
      </c>
      <c r="D19" s="7">
        <v>32610</v>
      </c>
      <c r="E19" s="8">
        <v>40961</v>
      </c>
      <c r="F19" s="4" t="s">
        <v>26</v>
      </c>
      <c r="G19" s="4" t="s">
        <v>30</v>
      </c>
      <c r="H19" s="9">
        <v>4480</v>
      </c>
      <c r="I19" s="10">
        <f>VLOOKUP(G19,'[1]נתונים נוספים'!$B$5:$C$9,2,FALSE)*$V$2+H19</f>
        <v>5440</v>
      </c>
      <c r="J19" s="11">
        <f t="shared" ca="1" si="0"/>
        <v>57082</v>
      </c>
      <c r="K19" s="12">
        <f t="shared" ca="1" si="1"/>
        <v>4</v>
      </c>
      <c r="L19" s="11" t="str">
        <f t="shared" ca="1" si="2"/>
        <v>יום רביעי</v>
      </c>
      <c r="M19" s="12">
        <f t="shared" ca="1" si="3"/>
        <v>14</v>
      </c>
      <c r="N19" s="13">
        <f t="shared" si="4"/>
        <v>5440</v>
      </c>
      <c r="O19" s="12" t="str">
        <f t="shared" si="5"/>
        <v>קורס קניינות ברשת</v>
      </c>
      <c r="P19" s="12"/>
      <c r="Q19"/>
      <c r="R19" s="12"/>
      <c r="S19" s="12"/>
      <c r="T19" s="11"/>
      <c r="U19" s="189">
        <v>105</v>
      </c>
      <c r="V19" s="197">
        <v>102624</v>
      </c>
      <c r="W19" s="189"/>
    </row>
    <row r="20" spans="1:23" x14ac:dyDescent="0.25">
      <c r="A20" s="4">
        <v>167</v>
      </c>
      <c r="B20" s="5" t="s">
        <v>58</v>
      </c>
      <c r="C20" s="6" t="s">
        <v>59</v>
      </c>
      <c r="D20" s="7">
        <v>32609</v>
      </c>
      <c r="E20" s="8">
        <v>41264</v>
      </c>
      <c r="F20" s="4" t="s">
        <v>47</v>
      </c>
      <c r="G20" s="4" t="s">
        <v>49</v>
      </c>
      <c r="H20" s="9">
        <v>4327</v>
      </c>
      <c r="I20" s="10">
        <f>VLOOKUP(G20,'[1]נתונים נוספים'!$B$5:$C$9,2,FALSE)*$V$2+H20</f>
        <v>5127</v>
      </c>
      <c r="J20" s="11">
        <f t="shared" ca="1" si="0"/>
        <v>57081</v>
      </c>
      <c r="K20" s="12">
        <f t="shared" ca="1" si="1"/>
        <v>4</v>
      </c>
      <c r="L20" s="11" t="str">
        <f t="shared" ca="1" si="2"/>
        <v>יום שלישי</v>
      </c>
      <c r="M20" s="12">
        <f t="shared" ca="1" si="3"/>
        <v>14</v>
      </c>
      <c r="N20" s="13">
        <f t="shared" si="4"/>
        <v>3845.25</v>
      </c>
      <c r="O20" s="12" t="str">
        <f t="shared" si="5"/>
        <v>ניהול טכנולוגי</v>
      </c>
      <c r="P20" s="12"/>
      <c r="Q20"/>
      <c r="R20" s="12"/>
      <c r="S20" s="12"/>
      <c r="T20" s="11"/>
      <c r="U20" s="189">
        <v>110</v>
      </c>
      <c r="V20" s="197">
        <v>103534</v>
      </c>
      <c r="W20" s="189"/>
    </row>
    <row r="21" spans="1:23" x14ac:dyDescent="0.25">
      <c r="A21" s="4">
        <v>151</v>
      </c>
      <c r="B21" s="5" t="s">
        <v>60</v>
      </c>
      <c r="C21" s="6" t="s">
        <v>61</v>
      </c>
      <c r="D21" s="7">
        <v>32596</v>
      </c>
      <c r="E21" s="8">
        <v>40927</v>
      </c>
      <c r="F21" s="4" t="s">
        <v>47</v>
      </c>
      <c r="G21" s="4" t="s">
        <v>49</v>
      </c>
      <c r="H21" s="9">
        <v>5404</v>
      </c>
      <c r="I21" s="10">
        <f>VLOOKUP(G21,'[1]נתונים נוספים'!$B$5:$C$9,2,FALSE)*$V$2+H21</f>
        <v>6204</v>
      </c>
      <c r="J21" s="11">
        <f t="shared" ca="1" si="0"/>
        <v>57068</v>
      </c>
      <c r="K21" s="12">
        <f t="shared" ca="1" si="1"/>
        <v>3</v>
      </c>
      <c r="L21" s="11" t="str">
        <f t="shared" ca="1" si="2"/>
        <v>יום רביעי</v>
      </c>
      <c r="M21" s="12">
        <f t="shared" ca="1" si="3"/>
        <v>14</v>
      </c>
      <c r="N21" s="13">
        <f t="shared" si="4"/>
        <v>4653</v>
      </c>
      <c r="O21" s="12" t="str">
        <f t="shared" si="5"/>
        <v>ניהול טכנולוגי</v>
      </c>
      <c r="P21" s="12"/>
      <c r="Q21"/>
      <c r="R21" s="12"/>
      <c r="S21" s="12"/>
      <c r="T21" s="11"/>
      <c r="U21" s="189">
        <v>115</v>
      </c>
      <c r="V21" s="197">
        <v>104444</v>
      </c>
      <c r="W21" s="189"/>
    </row>
    <row r="22" spans="1:23" x14ac:dyDescent="0.25">
      <c r="A22" s="4">
        <v>14</v>
      </c>
      <c r="B22" s="5" t="s">
        <v>62</v>
      </c>
      <c r="C22" s="6" t="s">
        <v>56</v>
      </c>
      <c r="D22" s="7">
        <v>32533</v>
      </c>
      <c r="E22" s="8">
        <v>43997</v>
      </c>
      <c r="F22" s="4" t="s">
        <v>26</v>
      </c>
      <c r="G22" s="4" t="s">
        <v>23</v>
      </c>
      <c r="H22" s="9">
        <v>7825</v>
      </c>
      <c r="I22" s="10">
        <f>VLOOKUP(G22,'[1]נתונים נוספים'!$B$5:$C$9,2,FALSE)*$V$2+H22</f>
        <v>9265</v>
      </c>
      <c r="J22" s="11">
        <f t="shared" ca="1" si="0"/>
        <v>58100</v>
      </c>
      <c r="K22" s="12">
        <f t="shared" ca="1" si="1"/>
        <v>1</v>
      </c>
      <c r="L22" s="11" t="str">
        <f t="shared" ca="1" si="2"/>
        <v>יקבע מועד אחר</v>
      </c>
      <c r="M22" s="12">
        <f t="shared" ca="1" si="3"/>
        <v>6</v>
      </c>
      <c r="N22" s="13">
        <f t="shared" si="4"/>
        <v>6485.5</v>
      </c>
      <c r="O22" s="12" t="str">
        <f t="shared" si="5"/>
        <v>קורס קניינות ברשת</v>
      </c>
      <c r="P22" s="12"/>
      <c r="Q22"/>
      <c r="R22" s="12"/>
      <c r="S22" s="12"/>
      <c r="T22" s="11"/>
      <c r="U22" s="189">
        <v>120</v>
      </c>
      <c r="V22" s="197">
        <v>105354</v>
      </c>
      <c r="W22" s="189"/>
    </row>
    <row r="23" spans="1:23" x14ac:dyDescent="0.25">
      <c r="A23" s="4">
        <v>126</v>
      </c>
      <c r="B23" s="5" t="s">
        <v>63</v>
      </c>
      <c r="C23" s="6" t="s">
        <v>54</v>
      </c>
      <c r="D23" s="7">
        <v>32532</v>
      </c>
      <c r="E23" s="8">
        <v>41125</v>
      </c>
      <c r="F23" s="4" t="s">
        <v>47</v>
      </c>
      <c r="G23" s="4" t="s">
        <v>18</v>
      </c>
      <c r="H23" s="9">
        <v>8305</v>
      </c>
      <c r="I23" s="10">
        <f>VLOOKUP(G23,'[1]נתונים נוספים'!$B$5:$C$9,2,FALSE)*$V$2+H23</f>
        <v>10145</v>
      </c>
      <c r="J23" s="11">
        <f t="shared" ca="1" si="0"/>
        <v>57003</v>
      </c>
      <c r="K23" s="12">
        <f t="shared" ca="1" si="1"/>
        <v>1</v>
      </c>
      <c r="L23" s="11" t="str">
        <f t="shared" ca="1" si="2"/>
        <v>יום שני</v>
      </c>
      <c r="M23" s="12">
        <f t="shared" ca="1" si="3"/>
        <v>14</v>
      </c>
      <c r="N23" s="13">
        <f t="shared" si="4"/>
        <v>7608.75</v>
      </c>
      <c r="O23" s="12" t="str">
        <f t="shared" si="5"/>
        <v>קורס קניינות ברשת</v>
      </c>
      <c r="P23" s="12"/>
      <c r="Q23"/>
      <c r="R23" s="12"/>
      <c r="S23" s="12"/>
      <c r="T23" s="11"/>
      <c r="U23" s="189"/>
      <c r="V23" s="189"/>
      <c r="W23" s="189"/>
    </row>
    <row r="24" spans="1:23" x14ac:dyDescent="0.25">
      <c r="A24" s="4">
        <v>235</v>
      </c>
      <c r="B24" s="5" t="s">
        <v>64</v>
      </c>
      <c r="C24" s="6" t="s">
        <v>59</v>
      </c>
      <c r="D24" s="7">
        <v>32531</v>
      </c>
      <c r="E24" s="8">
        <v>41247</v>
      </c>
      <c r="F24" s="4" t="s">
        <v>26</v>
      </c>
      <c r="G24" s="4" t="s">
        <v>30</v>
      </c>
      <c r="H24" s="9">
        <v>7570</v>
      </c>
      <c r="I24" s="10">
        <f>VLOOKUP(G24,'[1]נתונים נוספים'!$B$5:$C$9,2,FALSE)*$V$2+H24</f>
        <v>8530</v>
      </c>
      <c r="J24" s="11">
        <f t="shared" ca="1" si="0"/>
        <v>57002</v>
      </c>
      <c r="K24" s="12">
        <f t="shared" ca="1" si="1"/>
        <v>1</v>
      </c>
      <c r="L24" s="11" t="str">
        <f t="shared" ca="1" si="2"/>
        <v>יקבע מועד אחר</v>
      </c>
      <c r="M24" s="12">
        <f t="shared" ca="1" si="3"/>
        <v>14</v>
      </c>
      <c r="N24" s="13">
        <f t="shared" si="4"/>
        <v>6824</v>
      </c>
      <c r="O24" s="12" t="str">
        <f t="shared" si="5"/>
        <v>קורס קניינות ברשת</v>
      </c>
      <c r="P24" s="12"/>
      <c r="Q24"/>
      <c r="R24" s="12"/>
      <c r="S24" s="12"/>
      <c r="T24" s="11"/>
    </row>
    <row r="25" spans="1:23" x14ac:dyDescent="0.25">
      <c r="A25" s="4">
        <v>254</v>
      </c>
      <c r="B25" s="5" t="s">
        <v>65</v>
      </c>
      <c r="C25" s="6" t="s">
        <v>61</v>
      </c>
      <c r="D25" s="7">
        <v>32531</v>
      </c>
      <c r="E25" s="8">
        <v>41073</v>
      </c>
      <c r="F25" s="4" t="s">
        <v>22</v>
      </c>
      <c r="G25" s="4" t="s">
        <v>27</v>
      </c>
      <c r="H25" s="9">
        <v>9724</v>
      </c>
      <c r="I25" s="10">
        <f>VLOOKUP(G25,'[1]נתונים נוספים'!$B$5:$C$9,2,FALSE)*$V$2+H25</f>
        <v>10924</v>
      </c>
      <c r="J25" s="11">
        <f t="shared" ca="1" si="0"/>
        <v>57002</v>
      </c>
      <c r="K25" s="12">
        <f t="shared" ca="1" si="1"/>
        <v>1</v>
      </c>
      <c r="L25" s="11" t="str">
        <f t="shared" ca="1" si="2"/>
        <v>יקבע מועד אחר</v>
      </c>
      <c r="M25" s="12">
        <f t="shared" ca="1" si="3"/>
        <v>14</v>
      </c>
      <c r="N25" s="13">
        <f t="shared" si="4"/>
        <v>7646.8</v>
      </c>
      <c r="O25" s="12" t="str">
        <f t="shared" si="5"/>
        <v>קורס BI</v>
      </c>
      <c r="P25" s="12"/>
      <c r="Q25"/>
      <c r="R25" s="12"/>
      <c r="S25" s="12"/>
      <c r="T25" s="11"/>
      <c r="U25" s="1"/>
      <c r="V25" s="1"/>
    </row>
    <row r="26" spans="1:23" x14ac:dyDescent="0.25">
      <c r="A26" s="4">
        <v>96</v>
      </c>
      <c r="B26" s="5" t="s">
        <v>66</v>
      </c>
      <c r="C26" s="6" t="s">
        <v>32</v>
      </c>
      <c r="D26" s="7">
        <v>32525</v>
      </c>
      <c r="E26" s="8">
        <v>41196</v>
      </c>
      <c r="F26" s="4" t="s">
        <v>26</v>
      </c>
      <c r="G26" s="4" t="s">
        <v>30</v>
      </c>
      <c r="H26" s="9">
        <v>6365</v>
      </c>
      <c r="I26" s="10">
        <f>VLOOKUP(G26,'[1]נתונים נוספים'!$B$5:$C$9,2,FALSE)*$V$2+H26</f>
        <v>7325</v>
      </c>
      <c r="J26" s="11">
        <f t="shared" ca="1" si="0"/>
        <v>56996</v>
      </c>
      <c r="K26" s="12">
        <f t="shared" ca="1" si="1"/>
        <v>1</v>
      </c>
      <c r="L26" s="11" t="str">
        <f t="shared" ca="1" si="2"/>
        <v>יום שני</v>
      </c>
      <c r="M26" s="12">
        <f t="shared" ca="1" si="3"/>
        <v>14</v>
      </c>
      <c r="N26" s="13">
        <f t="shared" si="4"/>
        <v>6299.5</v>
      </c>
      <c r="O26" s="12" t="str">
        <f t="shared" si="5"/>
        <v>קורס קניינות ברשת</v>
      </c>
      <c r="P26" s="12"/>
      <c r="Q26"/>
      <c r="R26" s="4"/>
      <c r="S26" s="12"/>
      <c r="T26" s="11"/>
      <c r="U26" s="4"/>
      <c r="V26" s="209"/>
    </row>
    <row r="27" spans="1:23" x14ac:dyDescent="0.25">
      <c r="A27" s="4">
        <v>214</v>
      </c>
      <c r="B27" s="5" t="s">
        <v>67</v>
      </c>
      <c r="C27" s="6" t="s">
        <v>46</v>
      </c>
      <c r="D27" s="7">
        <v>32523</v>
      </c>
      <c r="E27" s="8">
        <v>40675</v>
      </c>
      <c r="F27" s="4" t="s">
        <v>22</v>
      </c>
      <c r="G27" s="4" t="s">
        <v>49</v>
      </c>
      <c r="H27" s="9">
        <v>4949</v>
      </c>
      <c r="I27" s="10">
        <f>VLOOKUP(G27,'[1]נתונים נוספים'!$B$5:$C$9,2,FALSE)*$V$2+H27</f>
        <v>5749</v>
      </c>
      <c r="J27" s="11">
        <f t="shared" ca="1" si="0"/>
        <v>56994</v>
      </c>
      <c r="K27" s="12">
        <f t="shared" ca="1" si="1"/>
        <v>1</v>
      </c>
      <c r="L27" s="11" t="str">
        <f t="shared" ca="1" si="2"/>
        <v>יקבע מועד אחר</v>
      </c>
      <c r="M27" s="12">
        <f t="shared" ca="1" si="3"/>
        <v>15</v>
      </c>
      <c r="N27" s="13">
        <f t="shared" si="4"/>
        <v>4599.2</v>
      </c>
      <c r="O27" s="12" t="str">
        <f t="shared" si="5"/>
        <v>קורס מחשבים כולל</v>
      </c>
      <c r="P27" s="12"/>
      <c r="Q27"/>
      <c r="R27" s="4"/>
      <c r="S27" s="12"/>
      <c r="T27" s="11"/>
      <c r="U27" s="4"/>
      <c r="V27" s="209"/>
    </row>
    <row r="28" spans="1:23" x14ac:dyDescent="0.25">
      <c r="A28" s="4">
        <v>68</v>
      </c>
      <c r="B28" s="5" t="s">
        <v>68</v>
      </c>
      <c r="C28" s="6" t="s">
        <v>16</v>
      </c>
      <c r="D28" s="7">
        <v>32513</v>
      </c>
      <c r="E28" s="8">
        <v>40548</v>
      </c>
      <c r="F28" s="4" t="s">
        <v>17</v>
      </c>
      <c r="G28" s="4" t="s">
        <v>23</v>
      </c>
      <c r="H28" s="9">
        <v>4435</v>
      </c>
      <c r="I28" s="10">
        <f>VLOOKUP(G28,'[1]נתונים נוספים'!$B$5:$C$9,2,FALSE)*$V$2+H28</f>
        <v>5875</v>
      </c>
      <c r="J28" s="11">
        <f t="shared" ca="1" si="0"/>
        <v>58080</v>
      </c>
      <c r="K28" s="12">
        <f t="shared" ca="1" si="1"/>
        <v>1</v>
      </c>
      <c r="L28" s="11" t="str">
        <f t="shared" ca="1" si="2"/>
        <v>יקבע מועד אחר</v>
      </c>
      <c r="M28" s="12">
        <f t="shared" ca="1" si="3"/>
        <v>15</v>
      </c>
      <c r="N28" s="13">
        <f t="shared" si="4"/>
        <v>5875</v>
      </c>
      <c r="O28" s="12" t="str">
        <f t="shared" si="5"/>
        <v>קורס קניינות ברשת</v>
      </c>
      <c r="P28" s="12"/>
      <c r="Q28"/>
      <c r="R28" s="4"/>
      <c r="S28" s="12"/>
      <c r="T28" s="11"/>
      <c r="U28" s="4"/>
      <c r="V28" s="209"/>
    </row>
    <row r="29" spans="1:23" x14ac:dyDescent="0.25">
      <c r="A29" s="4">
        <v>123</v>
      </c>
      <c r="B29" s="5" t="s">
        <v>69</v>
      </c>
      <c r="C29" s="6" t="s">
        <v>36</v>
      </c>
      <c r="D29" s="7">
        <v>32503</v>
      </c>
      <c r="E29" s="8">
        <v>40545</v>
      </c>
      <c r="F29" s="4" t="s">
        <v>47</v>
      </c>
      <c r="G29" s="4" t="s">
        <v>23</v>
      </c>
      <c r="H29" s="9">
        <v>9934</v>
      </c>
      <c r="I29" s="10">
        <f>VLOOKUP(G29,'[1]נתונים נוספים'!$B$5:$C$9,2,FALSE)*$V$2+H29</f>
        <v>11374</v>
      </c>
      <c r="J29" s="11">
        <f t="shared" ca="1" si="0"/>
        <v>56974</v>
      </c>
      <c r="K29" s="12">
        <f t="shared" ca="1" si="1"/>
        <v>12</v>
      </c>
      <c r="L29" s="11" t="str">
        <f t="shared" ca="1" si="2"/>
        <v>יקבע מועד אחר</v>
      </c>
      <c r="M29" s="12">
        <f t="shared" ca="1" si="3"/>
        <v>15</v>
      </c>
      <c r="N29" s="13">
        <f t="shared" si="4"/>
        <v>8530.5</v>
      </c>
      <c r="O29" s="12" t="str">
        <f t="shared" si="5"/>
        <v>קורס קניינות ברשת</v>
      </c>
      <c r="P29" s="12"/>
      <c r="Q29"/>
      <c r="R29" s="4"/>
      <c r="S29" s="12"/>
      <c r="T29" s="11"/>
      <c r="U29" s="4"/>
      <c r="V29" s="209"/>
    </row>
    <row r="30" spans="1:23" x14ac:dyDescent="0.25">
      <c r="A30" s="4">
        <v>41</v>
      </c>
      <c r="B30" s="5" t="s">
        <v>70</v>
      </c>
      <c r="C30" s="6" t="s">
        <v>71</v>
      </c>
      <c r="D30" s="7">
        <v>32467</v>
      </c>
      <c r="E30" s="8">
        <v>40557</v>
      </c>
      <c r="F30" s="4" t="s">
        <v>22</v>
      </c>
      <c r="G30" s="4" t="s">
        <v>27</v>
      </c>
      <c r="H30" s="9">
        <v>4433</v>
      </c>
      <c r="I30" s="10">
        <f>VLOOKUP(G30,'[1]נתונים נוספים'!$B$5:$C$9,2,FALSE)*$V$2+H30</f>
        <v>5633</v>
      </c>
      <c r="J30" s="11">
        <f t="shared" ca="1" si="0"/>
        <v>56938</v>
      </c>
      <c r="K30" s="12">
        <f t="shared" ca="1" si="1"/>
        <v>11</v>
      </c>
      <c r="L30" s="11" t="str">
        <f t="shared" ca="1" si="2"/>
        <v>יקבע מועד אחר</v>
      </c>
      <c r="M30" s="12">
        <f t="shared" ca="1" si="3"/>
        <v>15</v>
      </c>
      <c r="N30" s="13">
        <f t="shared" si="4"/>
        <v>4506.3999999999996</v>
      </c>
      <c r="O30" s="12" t="str">
        <f t="shared" si="5"/>
        <v>קורס AI</v>
      </c>
      <c r="P30" s="12"/>
      <c r="Q30"/>
      <c r="R30" s="4"/>
      <c r="S30" s="12"/>
      <c r="T30" s="11"/>
      <c r="U30" s="4"/>
      <c r="V30" s="209"/>
    </row>
    <row r="31" spans="1:23" x14ac:dyDescent="0.25">
      <c r="A31" s="4">
        <v>43</v>
      </c>
      <c r="B31" s="5" t="s">
        <v>72</v>
      </c>
      <c r="C31" s="6" t="s">
        <v>54</v>
      </c>
      <c r="D31" s="7">
        <v>32461</v>
      </c>
      <c r="E31" s="8">
        <v>41083</v>
      </c>
      <c r="F31" s="4" t="s">
        <v>22</v>
      </c>
      <c r="G31" s="4" t="s">
        <v>49</v>
      </c>
      <c r="H31" s="9">
        <v>9359</v>
      </c>
      <c r="I31" s="10">
        <f>VLOOKUP(G31,'[1]נתונים נוספים'!$B$5:$C$9,2,FALSE)*$V$2+H31</f>
        <v>10159</v>
      </c>
      <c r="J31" s="11">
        <f t="shared" ca="1" si="0"/>
        <v>56932</v>
      </c>
      <c r="K31" s="12">
        <f t="shared" ca="1" si="1"/>
        <v>11</v>
      </c>
      <c r="L31" s="11" t="str">
        <f t="shared" ca="1" si="2"/>
        <v>יקבע מועד אחר</v>
      </c>
      <c r="M31" s="12">
        <f t="shared" ca="1" si="3"/>
        <v>14</v>
      </c>
      <c r="N31" s="13">
        <f t="shared" si="4"/>
        <v>7111.3</v>
      </c>
      <c r="O31" s="12" t="str">
        <f t="shared" si="5"/>
        <v>ניהול טכנולוגי</v>
      </c>
      <c r="P31" s="12"/>
      <c r="Q31"/>
      <c r="R31" s="12"/>
      <c r="S31" s="12"/>
      <c r="T31" s="11"/>
    </row>
    <row r="32" spans="1:23" x14ac:dyDescent="0.25">
      <c r="A32" s="4">
        <v>134</v>
      </c>
      <c r="B32" s="5" t="s">
        <v>73</v>
      </c>
      <c r="C32" s="6" t="s">
        <v>46</v>
      </c>
      <c r="D32" s="7">
        <v>32460</v>
      </c>
      <c r="E32" s="8">
        <v>40218</v>
      </c>
      <c r="F32" s="4" t="s">
        <v>17</v>
      </c>
      <c r="G32" s="4" t="s">
        <v>27</v>
      </c>
      <c r="H32" s="9">
        <v>4295</v>
      </c>
      <c r="I32" s="10">
        <f>VLOOKUP(G32,'[1]נתונים נוספים'!$B$5:$C$9,2,FALSE)*$V$2+H32</f>
        <v>5495</v>
      </c>
      <c r="J32" s="11">
        <f t="shared" ca="1" si="0"/>
        <v>58027</v>
      </c>
      <c r="K32" s="12">
        <f t="shared" ca="1" si="1"/>
        <v>11</v>
      </c>
      <c r="L32" s="11" t="str">
        <f t="shared" ca="1" si="2"/>
        <v>יום רביעי</v>
      </c>
      <c r="M32" s="12">
        <f t="shared" ca="1" si="3"/>
        <v>16</v>
      </c>
      <c r="N32" s="13">
        <f t="shared" si="4"/>
        <v>5495</v>
      </c>
      <c r="O32" s="12" t="str">
        <f t="shared" si="5"/>
        <v>קורס AI</v>
      </c>
      <c r="P32" s="12"/>
      <c r="Q32"/>
      <c r="R32" s="12"/>
      <c r="S32" s="12"/>
      <c r="T32" s="11"/>
    </row>
    <row r="33" spans="1:26" x14ac:dyDescent="0.25">
      <c r="A33" s="4">
        <v>198</v>
      </c>
      <c r="B33" s="5" t="s">
        <v>74</v>
      </c>
      <c r="C33" s="6" t="s">
        <v>16</v>
      </c>
      <c r="D33" s="7">
        <v>32437</v>
      </c>
      <c r="E33" s="8">
        <v>40920</v>
      </c>
      <c r="F33" s="4" t="s">
        <v>17</v>
      </c>
      <c r="G33" s="4" t="s">
        <v>49</v>
      </c>
      <c r="H33" s="9">
        <v>6696</v>
      </c>
      <c r="I33" s="10">
        <f>VLOOKUP(G33,'[1]נתונים נוספים'!$B$5:$C$9,2,FALSE)*$V$2+H33</f>
        <v>7496</v>
      </c>
      <c r="J33" s="11">
        <f t="shared" ca="1" si="0"/>
        <v>56908</v>
      </c>
      <c r="K33" s="12">
        <f t="shared" ca="1" si="1"/>
        <v>10</v>
      </c>
      <c r="L33" s="11" t="str">
        <f t="shared" ca="1" si="2"/>
        <v>יום חמישי</v>
      </c>
      <c r="M33" s="12">
        <f t="shared" ca="1" si="3"/>
        <v>14</v>
      </c>
      <c r="N33" s="13">
        <f t="shared" si="4"/>
        <v>6446.5599999999995</v>
      </c>
      <c r="O33" s="12" t="str">
        <f t="shared" si="5"/>
        <v>ניהול טכנולוגי</v>
      </c>
      <c r="P33" s="12"/>
      <c r="Q33"/>
      <c r="R33" s="12"/>
      <c r="S33" s="12"/>
      <c r="T33" s="188"/>
      <c r="U33" s="189" t="s">
        <v>17</v>
      </c>
      <c r="V33" s="189" t="s">
        <v>18</v>
      </c>
      <c r="W33" s="189"/>
      <c r="X33" s="189"/>
      <c r="Y33" s="189"/>
      <c r="Z33" s="189"/>
    </row>
    <row r="34" spans="1:26" x14ac:dyDescent="0.25">
      <c r="A34" s="4">
        <v>240</v>
      </c>
      <c r="B34" s="5" t="s">
        <v>75</v>
      </c>
      <c r="C34" s="6" t="s">
        <v>52</v>
      </c>
      <c r="D34" s="7">
        <v>32436</v>
      </c>
      <c r="E34" s="8">
        <v>41150</v>
      </c>
      <c r="F34" s="4" t="s">
        <v>26</v>
      </c>
      <c r="G34" s="4" t="s">
        <v>27</v>
      </c>
      <c r="H34" s="9">
        <v>9837</v>
      </c>
      <c r="I34" s="10">
        <f>VLOOKUP(G34,'[1]נתונים נוספים'!$B$5:$C$9,2,FALSE)*$V$2+H34</f>
        <v>11037</v>
      </c>
      <c r="J34" s="11">
        <f t="shared" ca="1" si="0"/>
        <v>58003</v>
      </c>
      <c r="K34" s="12">
        <f t="shared" ca="1" si="1"/>
        <v>10</v>
      </c>
      <c r="L34" s="11" t="str">
        <f t="shared" ca="1" si="2"/>
        <v>יקבע מועד אחר</v>
      </c>
      <c r="M34" s="12">
        <f t="shared" ca="1" si="3"/>
        <v>14</v>
      </c>
      <c r="N34" s="13">
        <f t="shared" si="4"/>
        <v>6622.2</v>
      </c>
      <c r="O34" s="12" t="str">
        <f t="shared" si="5"/>
        <v>קורס BI</v>
      </c>
      <c r="P34" s="12"/>
      <c r="Q34"/>
      <c r="R34" s="12"/>
      <c r="S34" s="12"/>
      <c r="T34" s="188"/>
      <c r="U34" s="189" t="s">
        <v>26</v>
      </c>
      <c r="V34" s="189" t="s">
        <v>23</v>
      </c>
      <c r="W34" s="189"/>
      <c r="X34" s="189"/>
      <c r="Y34" s="189"/>
      <c r="Z34" s="189"/>
    </row>
    <row r="35" spans="1:26" x14ac:dyDescent="0.25">
      <c r="A35" s="4">
        <v>35</v>
      </c>
      <c r="B35" s="5" t="s">
        <v>76</v>
      </c>
      <c r="C35" s="6" t="s">
        <v>77</v>
      </c>
      <c r="D35" s="7">
        <v>32430</v>
      </c>
      <c r="E35" s="8">
        <v>40834</v>
      </c>
      <c r="F35" s="4" t="s">
        <v>47</v>
      </c>
      <c r="G35" s="4" t="s">
        <v>30</v>
      </c>
      <c r="H35" s="9">
        <v>9461</v>
      </c>
      <c r="I35" s="10">
        <f>VLOOKUP(G35,'[1]נתונים נוספים'!$B$5:$C$9,2,FALSE)*$V$2+H35</f>
        <v>10421</v>
      </c>
      <c r="J35" s="11">
        <f t="shared" ca="1" si="0"/>
        <v>56901</v>
      </c>
      <c r="K35" s="12">
        <f t="shared" ca="1" si="1"/>
        <v>10</v>
      </c>
      <c r="L35" s="11" t="str">
        <f t="shared" ca="1" si="2"/>
        <v>יום חמישי</v>
      </c>
      <c r="M35" s="12">
        <f t="shared" ca="1" si="3"/>
        <v>15</v>
      </c>
      <c r="N35" s="13">
        <f t="shared" si="4"/>
        <v>7815.75</v>
      </c>
      <c r="O35" s="12" t="str">
        <f t="shared" si="5"/>
        <v>קורס קניינות ברשת</v>
      </c>
      <c r="P35" s="12"/>
      <c r="Q35"/>
      <c r="R35" s="12"/>
      <c r="S35" s="12"/>
      <c r="T35" s="188"/>
      <c r="U35" s="189"/>
      <c r="V35" s="189" t="s">
        <v>27</v>
      </c>
      <c r="W35" s="189"/>
      <c r="X35" s="189"/>
      <c r="Y35" s="189"/>
      <c r="Z35" s="189"/>
    </row>
    <row r="36" spans="1:26" x14ac:dyDescent="0.25">
      <c r="A36" s="4">
        <v>100</v>
      </c>
      <c r="B36" s="5" t="s">
        <v>78</v>
      </c>
      <c r="C36" s="6" t="s">
        <v>21</v>
      </c>
      <c r="D36" s="7">
        <v>32421</v>
      </c>
      <c r="E36" s="8">
        <v>40344</v>
      </c>
      <c r="F36" s="4" t="s">
        <v>22</v>
      </c>
      <c r="G36" s="4" t="s">
        <v>49</v>
      </c>
      <c r="H36" s="9">
        <v>6745</v>
      </c>
      <c r="I36" s="10">
        <f>VLOOKUP(G36,'[1]נתונים נוספים'!$B$5:$C$9,2,FALSE)*$V$2+H36</f>
        <v>7545</v>
      </c>
      <c r="J36" s="11">
        <f t="shared" ca="1" si="0"/>
        <v>56892</v>
      </c>
      <c r="K36" s="12">
        <f t="shared" ca="1" si="1"/>
        <v>10</v>
      </c>
      <c r="L36" s="11" t="str">
        <f t="shared" ca="1" si="2"/>
        <v>יום שלישי</v>
      </c>
      <c r="M36" s="12">
        <f t="shared" ca="1" si="3"/>
        <v>16</v>
      </c>
      <c r="N36" s="13">
        <f t="shared" si="4"/>
        <v>6036</v>
      </c>
      <c r="O36" s="12" t="str">
        <f t="shared" si="5"/>
        <v>קורס תכנות</v>
      </c>
      <c r="P36" s="12"/>
      <c r="Q36"/>
      <c r="R36" s="12"/>
      <c r="S36" s="12"/>
      <c r="T36" s="188"/>
      <c r="U36" s="189">
        <v>70</v>
      </c>
      <c r="V36" s="189"/>
      <c r="W36" s="189"/>
      <c r="X36" s="189"/>
      <c r="Y36" s="189"/>
      <c r="Z36" s="189"/>
    </row>
    <row r="37" spans="1:26" x14ac:dyDescent="0.25">
      <c r="A37" s="4">
        <v>121</v>
      </c>
      <c r="B37" s="5" t="s">
        <v>79</v>
      </c>
      <c r="C37" s="6" t="s">
        <v>29</v>
      </c>
      <c r="D37" s="7">
        <v>32392</v>
      </c>
      <c r="E37" s="8">
        <v>40593</v>
      </c>
      <c r="F37" s="4" t="s">
        <v>22</v>
      </c>
      <c r="G37" s="4" t="s">
        <v>18</v>
      </c>
      <c r="H37" s="9">
        <v>8207</v>
      </c>
      <c r="I37" s="10">
        <f>VLOOKUP(G37,'[1]נתונים נוספים'!$B$5:$C$9,2,FALSE)*$V$2+H37</f>
        <v>10047</v>
      </c>
      <c r="J37" s="11">
        <f t="shared" ca="1" si="0"/>
        <v>56863</v>
      </c>
      <c r="K37" s="12">
        <f t="shared" ca="1" si="1"/>
        <v>9</v>
      </c>
      <c r="L37" s="11" t="str">
        <f t="shared" ca="1" si="2"/>
        <v>יום שני</v>
      </c>
      <c r="M37" s="12">
        <f t="shared" ca="1" si="3"/>
        <v>15</v>
      </c>
      <c r="N37" s="13">
        <f t="shared" si="4"/>
        <v>7032.9</v>
      </c>
      <c r="O37" s="12" t="str">
        <f t="shared" si="5"/>
        <v>קורס קניינות ברשת</v>
      </c>
      <c r="P37" s="12"/>
      <c r="Q37"/>
      <c r="R37" s="12"/>
      <c r="S37" s="12"/>
      <c r="T37" s="188"/>
      <c r="U37" s="189">
        <v>55</v>
      </c>
      <c r="V37" s="189"/>
      <c r="W37" s="189"/>
      <c r="X37" s="189"/>
      <c r="Y37" s="189"/>
      <c r="Z37" s="189"/>
    </row>
    <row r="38" spans="1:26" x14ac:dyDescent="0.25">
      <c r="A38" s="4">
        <v>86</v>
      </c>
      <c r="B38" s="5" t="s">
        <v>80</v>
      </c>
      <c r="C38" s="6" t="s">
        <v>81</v>
      </c>
      <c r="D38" s="7">
        <v>32387</v>
      </c>
      <c r="E38" s="8">
        <v>40618</v>
      </c>
      <c r="F38" s="4" t="s">
        <v>47</v>
      </c>
      <c r="G38" s="4" t="s">
        <v>18</v>
      </c>
      <c r="H38" s="9">
        <v>5642</v>
      </c>
      <c r="I38" s="10">
        <f>VLOOKUP(G38,'[1]נתונים נוספים'!$B$5:$C$9,2,FALSE)*$V$2+H38</f>
        <v>7482</v>
      </c>
      <c r="J38" s="11">
        <f t="shared" ca="1" si="0"/>
        <v>56858</v>
      </c>
      <c r="K38" s="12">
        <f t="shared" ca="1" si="1"/>
        <v>9</v>
      </c>
      <c r="L38" s="11" t="str">
        <f t="shared" ca="1" si="2"/>
        <v>יום רביעי</v>
      </c>
      <c r="M38" s="12">
        <f t="shared" ca="1" si="3"/>
        <v>15</v>
      </c>
      <c r="N38" s="13">
        <f t="shared" si="4"/>
        <v>5611.5</v>
      </c>
      <c r="O38" s="12" t="str">
        <f t="shared" si="5"/>
        <v>קורס קניינות ברשת</v>
      </c>
      <c r="P38" s="12"/>
      <c r="Q38"/>
      <c r="R38" s="12"/>
      <c r="S38" s="12"/>
      <c r="T38" s="188"/>
      <c r="U38" s="189">
        <v>3</v>
      </c>
      <c r="V38" s="189"/>
      <c r="W38" s="189"/>
      <c r="X38" s="189"/>
      <c r="Y38" s="189"/>
      <c r="Z38" s="189"/>
    </row>
    <row r="39" spans="1:26" x14ac:dyDescent="0.25">
      <c r="A39" s="4">
        <v>178</v>
      </c>
      <c r="B39" s="5" t="s">
        <v>82</v>
      </c>
      <c r="C39" s="6" t="s">
        <v>46</v>
      </c>
      <c r="D39" s="7">
        <v>32383</v>
      </c>
      <c r="E39" s="8">
        <v>40791</v>
      </c>
      <c r="F39" s="4" t="s">
        <v>22</v>
      </c>
      <c r="G39" s="4" t="s">
        <v>49</v>
      </c>
      <c r="H39" s="9">
        <v>9086</v>
      </c>
      <c r="I39" s="10">
        <f>VLOOKUP(G39,'[1]נתונים נוספים'!$B$5:$C$9,2,FALSE)*$V$2+H39</f>
        <v>9886</v>
      </c>
      <c r="J39" s="11">
        <f t="shared" ca="1" si="0"/>
        <v>56854</v>
      </c>
      <c r="K39" s="12">
        <f t="shared" ca="1" si="1"/>
        <v>8</v>
      </c>
      <c r="L39" s="11" t="str">
        <f t="shared" ca="1" si="2"/>
        <v>יקבע מועד אחר</v>
      </c>
      <c r="M39" s="12">
        <f t="shared" ca="1" si="3"/>
        <v>15</v>
      </c>
      <c r="N39" s="13">
        <f t="shared" si="4"/>
        <v>7908.8</v>
      </c>
      <c r="O39" s="12" t="str">
        <f t="shared" si="5"/>
        <v>קורס מחשבים כולל</v>
      </c>
      <c r="P39" s="12"/>
      <c r="Q39"/>
      <c r="R39" s="12"/>
      <c r="S39" s="12"/>
      <c r="T39" s="188"/>
      <c r="U39" s="189">
        <v>67</v>
      </c>
      <c r="V39" s="189"/>
      <c r="W39" s="189"/>
      <c r="X39" s="189"/>
      <c r="Y39" s="189"/>
      <c r="Z39" s="189"/>
    </row>
    <row r="40" spans="1:26" x14ac:dyDescent="0.25">
      <c r="A40" s="4">
        <v>239</v>
      </c>
      <c r="B40" s="5" t="s">
        <v>83</v>
      </c>
      <c r="C40" s="6" t="s">
        <v>84</v>
      </c>
      <c r="D40" s="7">
        <v>32383</v>
      </c>
      <c r="E40" s="8">
        <v>40573</v>
      </c>
      <c r="F40" s="4" t="s">
        <v>47</v>
      </c>
      <c r="G40" s="4" t="s">
        <v>18</v>
      </c>
      <c r="H40" s="9">
        <v>7479</v>
      </c>
      <c r="I40" s="10">
        <f>VLOOKUP(G40,'[1]נתונים נוספים'!$B$5:$C$9,2,FALSE)*$V$2+H40</f>
        <v>9319</v>
      </c>
      <c r="J40" s="11">
        <f t="shared" ca="1" si="0"/>
        <v>56854</v>
      </c>
      <c r="K40" s="12">
        <f t="shared" ca="1" si="1"/>
        <v>8</v>
      </c>
      <c r="L40" s="11" t="str">
        <f t="shared" ca="1" si="2"/>
        <v>יקבע מועד אחר</v>
      </c>
      <c r="M40" s="12">
        <f t="shared" ca="1" si="3"/>
        <v>15</v>
      </c>
      <c r="N40" s="13">
        <f t="shared" si="4"/>
        <v>6989.25</v>
      </c>
      <c r="O40" s="12" t="str">
        <f t="shared" si="5"/>
        <v>קורס קניינות ברשת</v>
      </c>
      <c r="P40" s="12"/>
      <c r="Q40"/>
      <c r="R40" s="12"/>
      <c r="S40" s="12"/>
      <c r="T40" s="188"/>
      <c r="U40" s="189"/>
      <c r="V40" s="189"/>
      <c r="W40" s="189"/>
      <c r="X40" s="189"/>
      <c r="Y40" s="189"/>
      <c r="Z40" s="189"/>
    </row>
    <row r="41" spans="1:26" x14ac:dyDescent="0.25">
      <c r="A41" s="4">
        <v>37</v>
      </c>
      <c r="B41" s="5" t="s">
        <v>85</v>
      </c>
      <c r="C41" s="6" t="s">
        <v>25</v>
      </c>
      <c r="D41" s="7">
        <v>32379</v>
      </c>
      <c r="E41" s="8">
        <v>41132</v>
      </c>
      <c r="F41" s="4" t="s">
        <v>47</v>
      </c>
      <c r="G41" s="4" t="s">
        <v>23</v>
      </c>
      <c r="H41" s="9">
        <v>5722</v>
      </c>
      <c r="I41" s="10">
        <f>VLOOKUP(G41,'[1]נתונים נוספים'!$B$5:$C$9,2,FALSE)*$V$2+H41</f>
        <v>7162</v>
      </c>
      <c r="J41" s="11">
        <f t="shared" ca="1" si="0"/>
        <v>56850</v>
      </c>
      <c r="K41" s="12">
        <f t="shared" ca="1" si="1"/>
        <v>8</v>
      </c>
      <c r="L41" s="11" t="str">
        <f t="shared" ca="1" si="2"/>
        <v>יום שלישי</v>
      </c>
      <c r="M41" s="12">
        <f t="shared" ca="1" si="3"/>
        <v>14</v>
      </c>
      <c r="N41" s="13">
        <f t="shared" si="4"/>
        <v>5371.5</v>
      </c>
      <c r="O41" s="12" t="str">
        <f t="shared" si="5"/>
        <v>קורס קניינות ברשת</v>
      </c>
      <c r="P41" s="12"/>
      <c r="Q41"/>
      <c r="R41" s="12"/>
      <c r="S41" s="12"/>
      <c r="T41" s="188"/>
      <c r="U41" s="189"/>
      <c r="V41" s="189"/>
      <c r="W41" s="189"/>
      <c r="X41" s="189"/>
      <c r="Y41" s="189"/>
      <c r="Z41" s="189"/>
    </row>
    <row r="42" spans="1:26" x14ac:dyDescent="0.25">
      <c r="A42" s="4">
        <v>160</v>
      </c>
      <c r="B42" s="5" t="s">
        <v>86</v>
      </c>
      <c r="C42" s="6" t="s">
        <v>46</v>
      </c>
      <c r="D42" s="7">
        <v>32371</v>
      </c>
      <c r="E42" s="8">
        <v>40602</v>
      </c>
      <c r="F42" s="4" t="s">
        <v>17</v>
      </c>
      <c r="G42" s="4" t="s">
        <v>27</v>
      </c>
      <c r="H42" s="9">
        <v>6100</v>
      </c>
      <c r="I42" s="10">
        <f>VLOOKUP(G42,'[1]נתונים נוספים'!$B$5:$C$9,2,FALSE)*$V$2+H42</f>
        <v>7300</v>
      </c>
      <c r="J42" s="11">
        <f t="shared" ca="1" si="0"/>
        <v>57938</v>
      </c>
      <c r="K42" s="12">
        <f t="shared" ca="1" si="1"/>
        <v>8</v>
      </c>
      <c r="L42" s="11" t="str">
        <f t="shared" ca="1" si="2"/>
        <v>יום שישי</v>
      </c>
      <c r="M42" s="12">
        <f t="shared" ca="1" si="3"/>
        <v>15</v>
      </c>
      <c r="N42" s="13">
        <f t="shared" si="4"/>
        <v>6278</v>
      </c>
      <c r="O42" s="12" t="str">
        <f t="shared" si="5"/>
        <v>קורס BI</v>
      </c>
      <c r="P42" s="12"/>
      <c r="Q42"/>
      <c r="R42" s="12"/>
      <c r="S42" s="12"/>
      <c r="T42" s="188"/>
      <c r="U42" s="189" t="s">
        <v>87</v>
      </c>
      <c r="V42" s="189"/>
      <c r="W42" s="189"/>
      <c r="X42" s="189"/>
      <c r="Y42" s="189"/>
      <c r="Z42" s="189"/>
    </row>
    <row r="43" spans="1:26" x14ac:dyDescent="0.25">
      <c r="A43" s="4">
        <v>84</v>
      </c>
      <c r="B43" s="5" t="s">
        <v>88</v>
      </c>
      <c r="C43" s="6" t="s">
        <v>54</v>
      </c>
      <c r="D43" s="7">
        <v>32350</v>
      </c>
      <c r="E43" s="8">
        <v>40851</v>
      </c>
      <c r="F43" s="4" t="s">
        <v>22</v>
      </c>
      <c r="G43" s="4" t="s">
        <v>18</v>
      </c>
      <c r="H43" s="9">
        <v>7195</v>
      </c>
      <c r="I43" s="10">
        <f>VLOOKUP(G43,'[1]נתונים נוספים'!$B$5:$C$9,2,FALSE)*$V$2+H43</f>
        <v>9035</v>
      </c>
      <c r="J43" s="11">
        <f t="shared" ca="1" si="0"/>
        <v>56821</v>
      </c>
      <c r="K43" s="12">
        <f t="shared" ca="1" si="1"/>
        <v>7</v>
      </c>
      <c r="L43" s="11" t="str">
        <f t="shared" ca="1" si="2"/>
        <v>יום שני</v>
      </c>
      <c r="M43" s="12">
        <f t="shared" ca="1" si="3"/>
        <v>15</v>
      </c>
      <c r="N43" s="13">
        <f t="shared" si="4"/>
        <v>7228</v>
      </c>
      <c r="O43" s="12" t="str">
        <f t="shared" si="5"/>
        <v>קורס קניינות ברשת</v>
      </c>
      <c r="P43" s="12"/>
      <c r="Q43"/>
      <c r="R43" s="12"/>
      <c r="S43" s="12"/>
      <c r="T43" s="188"/>
      <c r="U43" s="189" t="s">
        <v>89</v>
      </c>
      <c r="V43" s="189"/>
      <c r="W43" s="189"/>
      <c r="X43" s="189"/>
      <c r="Y43" s="189"/>
      <c r="Z43" s="189"/>
    </row>
    <row r="44" spans="1:26" x14ac:dyDescent="0.25">
      <c r="A44" s="4">
        <v>187</v>
      </c>
      <c r="B44" s="5" t="s">
        <v>90</v>
      </c>
      <c r="C44" s="6" t="s">
        <v>16</v>
      </c>
      <c r="D44" s="7">
        <v>32331</v>
      </c>
      <c r="E44" s="8">
        <v>41055</v>
      </c>
      <c r="F44" s="4" t="s">
        <v>47</v>
      </c>
      <c r="G44" s="4" t="s">
        <v>27</v>
      </c>
      <c r="H44" s="9">
        <v>4264</v>
      </c>
      <c r="I44" s="10">
        <f>VLOOKUP(G44,'[1]נתונים נוספים'!$B$5:$C$9,2,FALSE)*$V$2+H44</f>
        <v>5464</v>
      </c>
      <c r="J44" s="11">
        <f t="shared" ca="1" si="0"/>
        <v>56802</v>
      </c>
      <c r="K44" s="12">
        <f t="shared" ca="1" si="1"/>
        <v>7</v>
      </c>
      <c r="L44" s="11" t="str">
        <f t="shared" ca="1" si="2"/>
        <v>יום רביעי</v>
      </c>
      <c r="M44" s="12">
        <f t="shared" ca="1" si="3"/>
        <v>14</v>
      </c>
      <c r="N44" s="13">
        <f t="shared" si="4"/>
        <v>4098</v>
      </c>
      <c r="O44" s="12" t="str">
        <f t="shared" si="5"/>
        <v>קורס AI</v>
      </c>
      <c r="P44" s="12"/>
      <c r="Q44"/>
      <c r="R44" s="12"/>
      <c r="S44" s="12"/>
      <c r="T44" s="188"/>
      <c r="U44" s="189" t="s">
        <v>91</v>
      </c>
      <c r="V44" s="189"/>
      <c r="W44" s="189"/>
      <c r="X44" s="189"/>
      <c r="Y44" s="189"/>
      <c r="Z44" s="189"/>
    </row>
    <row r="45" spans="1:26" x14ac:dyDescent="0.25">
      <c r="A45" s="4">
        <v>74</v>
      </c>
      <c r="B45" s="5" t="s">
        <v>92</v>
      </c>
      <c r="C45" s="6" t="s">
        <v>81</v>
      </c>
      <c r="D45" s="7">
        <v>32330</v>
      </c>
      <c r="E45" s="8">
        <v>40949</v>
      </c>
      <c r="F45" s="4" t="s">
        <v>22</v>
      </c>
      <c r="G45" s="4" t="s">
        <v>49</v>
      </c>
      <c r="H45" s="9">
        <v>5755</v>
      </c>
      <c r="I45" s="10">
        <f>VLOOKUP(G45,'[1]נתונים נוספים'!$B$5:$C$9,2,FALSE)*$V$2+H45</f>
        <v>6555</v>
      </c>
      <c r="J45" s="11">
        <f t="shared" ca="1" si="0"/>
        <v>56801</v>
      </c>
      <c r="K45" s="12">
        <f t="shared" ca="1" si="1"/>
        <v>7</v>
      </c>
      <c r="L45" s="11" t="str">
        <f t="shared" ca="1" si="2"/>
        <v>יום שלישי</v>
      </c>
      <c r="M45" s="12">
        <f t="shared" ca="1" si="3"/>
        <v>14</v>
      </c>
      <c r="N45" s="13">
        <f t="shared" si="4"/>
        <v>5244</v>
      </c>
      <c r="O45" s="12" t="str">
        <f t="shared" si="5"/>
        <v>ניהול טכנולוגי</v>
      </c>
      <c r="P45" s="12"/>
      <c r="Q45"/>
      <c r="R45" s="12"/>
      <c r="S45" s="12"/>
      <c r="T45" s="188"/>
      <c r="U45" s="189"/>
      <c r="V45" s="189"/>
      <c r="W45" s="189"/>
      <c r="X45" s="189"/>
      <c r="Y45" s="189"/>
      <c r="Z45" s="189"/>
    </row>
    <row r="46" spans="1:26" x14ac:dyDescent="0.25">
      <c r="A46" s="4">
        <v>38</v>
      </c>
      <c r="B46" s="5" t="s">
        <v>93</v>
      </c>
      <c r="C46" s="6" t="s">
        <v>94</v>
      </c>
      <c r="D46" s="7">
        <v>32311</v>
      </c>
      <c r="E46" s="8">
        <v>40249</v>
      </c>
      <c r="F46" s="4" t="s">
        <v>17</v>
      </c>
      <c r="G46" s="4" t="s">
        <v>30</v>
      </c>
      <c r="H46" s="9">
        <v>5540</v>
      </c>
      <c r="I46" s="10">
        <f>VLOOKUP(G46,'[1]נתונים נוספים'!$B$5:$C$9,2,FALSE)*$V$2+H46</f>
        <v>6500</v>
      </c>
      <c r="J46" s="11">
        <f t="shared" ca="1" si="0"/>
        <v>56782</v>
      </c>
      <c r="K46" s="12">
        <f t="shared" ca="1" si="1"/>
        <v>6</v>
      </c>
      <c r="L46" s="11" t="str">
        <f t="shared" ca="1" si="2"/>
        <v>יום חמישי</v>
      </c>
      <c r="M46" s="12">
        <f t="shared" ca="1" si="3"/>
        <v>16</v>
      </c>
      <c r="N46" s="13">
        <f t="shared" si="4"/>
        <v>5850</v>
      </c>
      <c r="O46" s="12" t="str">
        <f t="shared" si="5"/>
        <v>קורס קניינות ברשת</v>
      </c>
      <c r="P46" s="12"/>
      <c r="Q46"/>
      <c r="R46" s="12"/>
      <c r="S46" s="12"/>
      <c r="T46" s="188"/>
      <c r="U46" s="189"/>
      <c r="V46" s="189"/>
      <c r="W46" s="189"/>
      <c r="X46" s="189"/>
      <c r="Y46" s="189"/>
      <c r="Z46" s="189"/>
    </row>
    <row r="47" spans="1:26" x14ac:dyDescent="0.25">
      <c r="A47" s="4">
        <v>3</v>
      </c>
      <c r="B47" s="5" t="s">
        <v>95</v>
      </c>
      <c r="C47" s="6" t="s">
        <v>41</v>
      </c>
      <c r="D47" s="7">
        <v>32298</v>
      </c>
      <c r="E47" s="8">
        <v>40848</v>
      </c>
      <c r="F47" s="4" t="s">
        <v>47</v>
      </c>
      <c r="G47" s="4" t="s">
        <v>23</v>
      </c>
      <c r="H47" s="9">
        <v>4046</v>
      </c>
      <c r="I47" s="10">
        <f>VLOOKUP(G47,'[1]נתונים נוספים'!$B$5:$C$9,2,FALSE)*$V$2+H47</f>
        <v>5486</v>
      </c>
      <c r="J47" s="11">
        <f t="shared" ca="1" si="0"/>
        <v>56769</v>
      </c>
      <c r="K47" s="12">
        <f t="shared" ca="1" si="1"/>
        <v>6</v>
      </c>
      <c r="L47" s="11" t="str">
        <f t="shared" ca="1" si="2"/>
        <v>יום שישי</v>
      </c>
      <c r="M47" s="12">
        <f t="shared" ca="1" si="3"/>
        <v>15</v>
      </c>
      <c r="N47" s="13">
        <f t="shared" si="4"/>
        <v>4114.5</v>
      </c>
      <c r="O47" s="12" t="str">
        <f t="shared" si="5"/>
        <v>קורס קניינות ברשת</v>
      </c>
      <c r="P47" s="12"/>
      <c r="Q47"/>
      <c r="R47" s="12"/>
      <c r="S47" s="12"/>
      <c r="T47" s="188"/>
      <c r="U47" s="189"/>
      <c r="V47" s="189"/>
      <c r="W47" s="189"/>
      <c r="X47" s="189"/>
      <c r="Y47" s="189"/>
      <c r="Z47" s="189"/>
    </row>
    <row r="48" spans="1:26" x14ac:dyDescent="0.25">
      <c r="A48" s="4">
        <v>44</v>
      </c>
      <c r="B48" s="5" t="s">
        <v>96</v>
      </c>
      <c r="C48" s="6" t="s">
        <v>61</v>
      </c>
      <c r="D48" s="7">
        <v>32235</v>
      </c>
      <c r="E48" s="8">
        <v>40397</v>
      </c>
      <c r="F48" s="4" t="s">
        <v>22</v>
      </c>
      <c r="G48" s="4" t="s">
        <v>30</v>
      </c>
      <c r="H48" s="9">
        <v>6585</v>
      </c>
      <c r="I48" s="10">
        <f>VLOOKUP(G48,'[1]נתונים נוספים'!$B$5:$C$9,2,FALSE)*$V$2+H48</f>
        <v>7545</v>
      </c>
      <c r="J48" s="11">
        <f t="shared" ca="1" si="0"/>
        <v>56706</v>
      </c>
      <c r="K48" s="12">
        <f t="shared" ca="1" si="1"/>
        <v>4</v>
      </c>
      <c r="L48" s="11" t="str">
        <f t="shared" ca="1" si="2"/>
        <v>יום שישי</v>
      </c>
      <c r="M48" s="12">
        <f t="shared" ca="1" si="3"/>
        <v>16</v>
      </c>
      <c r="N48" s="13">
        <f t="shared" si="4"/>
        <v>6036</v>
      </c>
      <c r="O48" s="12" t="str">
        <f t="shared" si="5"/>
        <v>קורס קניינות ברשת</v>
      </c>
      <c r="P48" s="12"/>
      <c r="Q48"/>
      <c r="R48" s="12"/>
      <c r="S48" s="12"/>
      <c r="T48" s="188"/>
      <c r="U48" s="189" t="s">
        <v>97</v>
      </c>
      <c r="V48" s="190">
        <f>AVERAGE(H2:H60)</f>
        <v>6901.5254237288136</v>
      </c>
      <c r="W48" s="189">
        <v>500</v>
      </c>
      <c r="X48" s="189">
        <v>10</v>
      </c>
      <c r="Y48" s="191" t="s">
        <v>56</v>
      </c>
      <c r="Z48" s="189"/>
    </row>
    <row r="49" spans="1:26" x14ac:dyDescent="0.25">
      <c r="A49" s="4">
        <v>200</v>
      </c>
      <c r="B49" s="5" t="s">
        <v>98</v>
      </c>
      <c r="C49" s="6" t="s">
        <v>21</v>
      </c>
      <c r="D49" s="7">
        <v>32223</v>
      </c>
      <c r="E49" s="8">
        <v>40913</v>
      </c>
      <c r="F49" s="4" t="s">
        <v>26</v>
      </c>
      <c r="G49" s="4" t="s">
        <v>18</v>
      </c>
      <c r="H49" s="9">
        <v>8356</v>
      </c>
      <c r="I49" s="10">
        <f>VLOOKUP(G49,'[1]נתונים נוספים'!$B$5:$C$9,2,FALSE)*$V$2+H49</f>
        <v>10196</v>
      </c>
      <c r="J49" s="11">
        <f t="shared" ca="1" si="0"/>
        <v>57790</v>
      </c>
      <c r="K49" s="12">
        <f t="shared" ca="1" si="1"/>
        <v>3</v>
      </c>
      <c r="L49" s="11" t="str">
        <f t="shared" ca="1" si="2"/>
        <v>יום חמישי</v>
      </c>
      <c r="M49" s="12">
        <f t="shared" ca="1" si="3"/>
        <v>14</v>
      </c>
      <c r="N49" s="13">
        <f t="shared" si="4"/>
        <v>6117.6</v>
      </c>
      <c r="O49" s="12" t="str">
        <f t="shared" si="5"/>
        <v>קורס קניינות ברשת</v>
      </c>
      <c r="P49" s="12"/>
      <c r="Q49"/>
      <c r="R49" s="12"/>
      <c r="S49" s="12"/>
      <c r="T49" s="188"/>
      <c r="U49" s="189"/>
      <c r="V49" s="189"/>
      <c r="W49" s="189"/>
      <c r="X49" s="189"/>
      <c r="Y49" s="189"/>
      <c r="Z49" s="189"/>
    </row>
    <row r="50" spans="1:26" x14ac:dyDescent="0.25">
      <c r="A50" s="4">
        <v>219</v>
      </c>
      <c r="B50" s="5" t="s">
        <v>99</v>
      </c>
      <c r="C50" s="6" t="s">
        <v>25</v>
      </c>
      <c r="D50" s="7">
        <v>32150</v>
      </c>
      <c r="E50" s="8">
        <v>40694</v>
      </c>
      <c r="F50" s="4" t="s">
        <v>47</v>
      </c>
      <c r="G50" s="4" t="s">
        <v>49</v>
      </c>
      <c r="H50" s="9">
        <v>6471</v>
      </c>
      <c r="I50" s="10">
        <f>VLOOKUP(G50,'[1]נתונים נוספים'!$B$5:$C$9,2,FALSE)*$V$2+H50</f>
        <v>7271</v>
      </c>
      <c r="J50" s="11">
        <f t="shared" ca="1" si="0"/>
        <v>56622</v>
      </c>
      <c r="K50" s="12">
        <f t="shared" ca="1" si="1"/>
        <v>1</v>
      </c>
      <c r="L50" s="11" t="str">
        <f t="shared" ca="1" si="2"/>
        <v>יום שישי</v>
      </c>
      <c r="M50" s="12">
        <f t="shared" ca="1" si="3"/>
        <v>15</v>
      </c>
      <c r="N50" s="13">
        <f t="shared" si="4"/>
        <v>5453.25</v>
      </c>
      <c r="O50" s="12" t="str">
        <f t="shared" si="5"/>
        <v>קורס מחשבים כולל</v>
      </c>
      <c r="P50" s="12"/>
      <c r="Q50"/>
      <c r="R50" s="12"/>
      <c r="S50" s="12"/>
      <c r="T50" s="188"/>
      <c r="U50" s="189"/>
      <c r="V50" s="189"/>
      <c r="W50" s="189"/>
      <c r="X50" s="189"/>
      <c r="Y50" s="189"/>
      <c r="Z50" s="189"/>
    </row>
    <row r="51" spans="1:26" x14ac:dyDescent="0.25">
      <c r="A51" s="4">
        <v>225</v>
      </c>
      <c r="B51" s="5" t="s">
        <v>100</v>
      </c>
      <c r="C51" s="6" t="s">
        <v>16</v>
      </c>
      <c r="D51" s="7">
        <v>32061</v>
      </c>
      <c r="E51" s="8">
        <v>40908</v>
      </c>
      <c r="F51" s="4" t="s">
        <v>47</v>
      </c>
      <c r="G51" s="4" t="s">
        <v>27</v>
      </c>
      <c r="H51" s="9">
        <v>4255</v>
      </c>
      <c r="I51" s="10">
        <f>VLOOKUP(G51,'[1]נתונים נוספים'!$B$5:$C$9,2,FALSE)*$V$2+H51</f>
        <v>5455</v>
      </c>
      <c r="J51" s="11">
        <f t="shared" ca="1" si="0"/>
        <v>56533</v>
      </c>
      <c r="K51" s="12">
        <f t="shared" ca="1" si="1"/>
        <v>10</v>
      </c>
      <c r="L51" s="11" t="str">
        <f t="shared" ca="1" si="2"/>
        <v>יקבע מועד אחר</v>
      </c>
      <c r="M51" s="12">
        <f t="shared" ca="1" si="3"/>
        <v>15</v>
      </c>
      <c r="N51" s="13">
        <f t="shared" si="4"/>
        <v>4091.25</v>
      </c>
      <c r="O51" s="12" t="str">
        <f t="shared" si="5"/>
        <v>קורס AI</v>
      </c>
      <c r="P51" s="12"/>
      <c r="Q51"/>
      <c r="R51" s="12"/>
      <c r="S51" s="12"/>
      <c r="T51" s="188"/>
      <c r="U51" s="192"/>
      <c r="V51" s="192"/>
      <c r="W51" s="192"/>
      <c r="X51" s="192"/>
      <c r="Y51" s="189"/>
      <c r="Z51" s="189"/>
    </row>
    <row r="52" spans="1:26" x14ac:dyDescent="0.25">
      <c r="A52" s="4">
        <v>81</v>
      </c>
      <c r="B52" s="5" t="s">
        <v>101</v>
      </c>
      <c r="C52" s="6" t="s">
        <v>52</v>
      </c>
      <c r="D52" s="7">
        <v>32034</v>
      </c>
      <c r="E52" s="8">
        <v>41017</v>
      </c>
      <c r="F52" s="4" t="s">
        <v>17</v>
      </c>
      <c r="G52" s="4" t="s">
        <v>30</v>
      </c>
      <c r="H52" s="9">
        <v>5567</v>
      </c>
      <c r="I52" s="10">
        <f>VLOOKUP(G52,'[1]נתונים נוספים'!$B$5:$C$9,2,FALSE)*$V$2+H52</f>
        <v>6527</v>
      </c>
      <c r="J52" s="11">
        <f t="shared" ca="1" si="0"/>
        <v>56506</v>
      </c>
      <c r="K52" s="12">
        <f t="shared" ca="1" si="1"/>
        <v>9</v>
      </c>
      <c r="L52" s="11" t="str">
        <f t="shared" ca="1" si="2"/>
        <v>יום שני</v>
      </c>
      <c r="M52" s="12">
        <f t="shared" ca="1" si="3"/>
        <v>14</v>
      </c>
      <c r="N52" s="13">
        <f t="shared" si="4"/>
        <v>5874.3</v>
      </c>
      <c r="O52" s="12" t="str">
        <f t="shared" si="5"/>
        <v>קורס קניינות ברשת</v>
      </c>
      <c r="P52" s="12"/>
      <c r="Q52"/>
      <c r="R52" s="12"/>
      <c r="S52" s="12"/>
      <c r="T52" s="188"/>
      <c r="U52" s="189" t="b">
        <f ca="1">AND(C2&lt;&gt;$Y$48,H2&gt;$V$48-$W$48,H2&lt;$V$48+$W$48,M2&gt;$X$48)</f>
        <v>0</v>
      </c>
      <c r="V52" s="189"/>
      <c r="W52" s="189"/>
      <c r="X52" s="189"/>
      <c r="Y52" s="189"/>
      <c r="Z52" s="189"/>
    </row>
    <row r="53" spans="1:26" x14ac:dyDescent="0.25">
      <c r="A53" s="4">
        <v>195</v>
      </c>
      <c r="B53" s="5" t="s">
        <v>102</v>
      </c>
      <c r="C53" s="6" t="s">
        <v>21</v>
      </c>
      <c r="D53" s="7">
        <v>31995</v>
      </c>
      <c r="E53" s="8">
        <v>40095</v>
      </c>
      <c r="F53" s="4" t="s">
        <v>17</v>
      </c>
      <c r="G53" s="4" t="s">
        <v>49</v>
      </c>
      <c r="H53" s="9">
        <v>9294</v>
      </c>
      <c r="I53" s="10">
        <f>VLOOKUP(G53,'[1]נתונים נוספים'!$B$5:$C$9,2,FALSE)*$V$2+H53</f>
        <v>10094</v>
      </c>
      <c r="J53" s="11">
        <f t="shared" ca="1" si="0"/>
        <v>56467</v>
      </c>
      <c r="K53" s="12">
        <f t="shared" ca="1" si="1"/>
        <v>8</v>
      </c>
      <c r="L53" s="11" t="str">
        <f t="shared" ca="1" si="2"/>
        <v>יום חמישי</v>
      </c>
      <c r="M53" s="12">
        <f t="shared" ca="1" si="3"/>
        <v>17</v>
      </c>
      <c r="N53" s="13">
        <f t="shared" si="4"/>
        <v>6056.4</v>
      </c>
      <c r="O53" s="12" t="str">
        <f t="shared" si="5"/>
        <v>קורס תכנות</v>
      </c>
      <c r="P53" s="12"/>
      <c r="Q53"/>
      <c r="R53" s="12"/>
      <c r="S53" s="12"/>
      <c r="T53" s="188"/>
      <c r="U53" s="189"/>
      <c r="V53" s="189"/>
      <c r="W53" s="189"/>
      <c r="X53" s="189"/>
      <c r="Y53" s="189"/>
      <c r="Z53" s="189"/>
    </row>
    <row r="54" spans="1:26" x14ac:dyDescent="0.25">
      <c r="A54" s="4">
        <v>131</v>
      </c>
      <c r="B54" s="5" t="s">
        <v>103</v>
      </c>
      <c r="C54" s="6" t="s">
        <v>61</v>
      </c>
      <c r="D54" s="7">
        <v>31933</v>
      </c>
      <c r="E54" s="8">
        <v>41183</v>
      </c>
      <c r="F54" s="4" t="s">
        <v>22</v>
      </c>
      <c r="G54" s="4" t="s">
        <v>49</v>
      </c>
      <c r="H54" s="9">
        <v>9795</v>
      </c>
      <c r="I54" s="10">
        <f>VLOOKUP(G54,'[1]נתונים נוספים'!$B$5:$C$9,2,FALSE)*$V$2+H54</f>
        <v>10595</v>
      </c>
      <c r="J54" s="11">
        <f t="shared" ca="1" si="0"/>
        <v>56405</v>
      </c>
      <c r="K54" s="12">
        <f t="shared" ca="1" si="1"/>
        <v>6</v>
      </c>
      <c r="L54" s="11" t="str">
        <f t="shared" ca="1" si="2"/>
        <v>יום שישי</v>
      </c>
      <c r="M54" s="12">
        <f t="shared" ca="1" si="3"/>
        <v>14</v>
      </c>
      <c r="N54" s="13">
        <f t="shared" si="4"/>
        <v>7416.5</v>
      </c>
      <c r="O54" s="12" t="str">
        <f t="shared" si="5"/>
        <v>ניהול טכנולוגי</v>
      </c>
      <c r="P54" s="12"/>
      <c r="Q54"/>
      <c r="R54" s="12"/>
      <c r="S54" s="12"/>
      <c r="T54" s="188"/>
      <c r="U54" s="189" t="s">
        <v>17</v>
      </c>
      <c r="V54" s="189">
        <v>0</v>
      </c>
      <c r="W54" s="189">
        <v>0</v>
      </c>
      <c r="X54" s="189"/>
      <c r="Y54" s="189"/>
      <c r="Z54" s="189"/>
    </row>
    <row r="55" spans="1:26" x14ac:dyDescent="0.25">
      <c r="A55" s="4">
        <v>203</v>
      </c>
      <c r="B55" s="5" t="s">
        <v>104</v>
      </c>
      <c r="C55" s="6" t="s">
        <v>105</v>
      </c>
      <c r="D55" s="7">
        <v>31867</v>
      </c>
      <c r="E55" s="8">
        <v>41023</v>
      </c>
      <c r="F55" s="4" t="s">
        <v>26</v>
      </c>
      <c r="G55" s="4" t="s">
        <v>23</v>
      </c>
      <c r="H55" s="9">
        <v>6304</v>
      </c>
      <c r="I55" s="10">
        <f>VLOOKUP(G55,'[1]נתונים נוספים'!$B$5:$C$9,2,FALSE)*$V$2+H55</f>
        <v>7744</v>
      </c>
      <c r="J55" s="11">
        <f t="shared" ca="1" si="0"/>
        <v>57435</v>
      </c>
      <c r="K55" s="12">
        <f t="shared" ca="1" si="1"/>
        <v>3</v>
      </c>
      <c r="L55" s="11" t="str">
        <f t="shared" ca="1" si="2"/>
        <v>יקבע מועד אחר</v>
      </c>
      <c r="M55" s="12">
        <f t="shared" ca="1" si="3"/>
        <v>14</v>
      </c>
      <c r="N55" s="13">
        <f t="shared" si="4"/>
        <v>6659.84</v>
      </c>
      <c r="O55" s="12" t="str">
        <f t="shared" si="5"/>
        <v>קורס קניינות ברשת</v>
      </c>
      <c r="P55" s="12"/>
      <c r="Q55"/>
      <c r="R55" s="12"/>
      <c r="S55" s="12"/>
      <c r="T55" s="188"/>
      <c r="U55" s="189" t="s">
        <v>26</v>
      </c>
      <c r="V55" s="189">
        <v>6000</v>
      </c>
      <c r="W55" s="193">
        <v>0.1</v>
      </c>
      <c r="X55" s="189"/>
      <c r="Y55" s="189"/>
      <c r="Z55" s="189"/>
    </row>
    <row r="56" spans="1:26" x14ac:dyDescent="0.25">
      <c r="A56" s="4">
        <v>25</v>
      </c>
      <c r="B56" s="5" t="s">
        <v>106</v>
      </c>
      <c r="C56" s="6" t="s">
        <v>81</v>
      </c>
      <c r="D56" s="7">
        <v>31848</v>
      </c>
      <c r="E56" s="8">
        <v>40637</v>
      </c>
      <c r="F56" s="4" t="s">
        <v>22</v>
      </c>
      <c r="G56" s="4" t="s">
        <v>49</v>
      </c>
      <c r="H56" s="9">
        <v>5743</v>
      </c>
      <c r="I56" s="10">
        <f>VLOOKUP(G56,'[1]נתונים נוספים'!$B$5:$C$9,2,FALSE)*$V$2+H56</f>
        <v>6543</v>
      </c>
      <c r="J56" s="11">
        <f t="shared" ca="1" si="0"/>
        <v>56320</v>
      </c>
      <c r="K56" s="12">
        <f t="shared" ca="1" si="1"/>
        <v>3</v>
      </c>
      <c r="L56" s="11" t="str">
        <f t="shared" ca="1" si="2"/>
        <v>יום חמישי</v>
      </c>
      <c r="M56" s="12">
        <f t="shared" ca="1" si="3"/>
        <v>15</v>
      </c>
      <c r="N56" s="13">
        <f t="shared" si="4"/>
        <v>5234.3999999999996</v>
      </c>
      <c r="O56" s="12" t="str">
        <f t="shared" si="5"/>
        <v>קורס מחשבים כולל</v>
      </c>
      <c r="P56" s="12"/>
      <c r="Q56"/>
      <c r="R56" s="12"/>
      <c r="S56" s="12"/>
      <c r="T56" s="188"/>
      <c r="U56" s="189"/>
      <c r="V56" s="189">
        <v>7000</v>
      </c>
      <c r="W56" s="193">
        <v>0.14000000000000001</v>
      </c>
      <c r="X56" s="189"/>
      <c r="Y56" s="189"/>
      <c r="Z56" s="189"/>
    </row>
    <row r="57" spans="1:26" x14ac:dyDescent="0.25">
      <c r="A57" s="4">
        <v>171</v>
      </c>
      <c r="B57" s="5" t="s">
        <v>107</v>
      </c>
      <c r="C57" s="6" t="s">
        <v>94</v>
      </c>
      <c r="D57" s="7">
        <v>31825</v>
      </c>
      <c r="E57" s="8">
        <v>40902</v>
      </c>
      <c r="F57" s="4" t="s">
        <v>22</v>
      </c>
      <c r="G57" s="4" t="s">
        <v>27</v>
      </c>
      <c r="H57" s="9">
        <v>9539</v>
      </c>
      <c r="I57" s="10">
        <f>VLOOKUP(G57,'[1]נתונים נוספים'!$B$5:$C$9,2,FALSE)*$V$2+H57</f>
        <v>10739</v>
      </c>
      <c r="J57" s="11">
        <f t="shared" ca="1" si="0"/>
        <v>56297</v>
      </c>
      <c r="K57" s="12">
        <f t="shared" ca="1" si="1"/>
        <v>2</v>
      </c>
      <c r="L57" s="11" t="str">
        <f t="shared" ca="1" si="2"/>
        <v>יום שלישי</v>
      </c>
      <c r="M57" s="12">
        <f t="shared" ca="1" si="3"/>
        <v>15</v>
      </c>
      <c r="N57" s="13">
        <f t="shared" si="4"/>
        <v>7517.3</v>
      </c>
      <c r="O57" s="12" t="str">
        <f t="shared" si="5"/>
        <v>קורס BI</v>
      </c>
      <c r="P57" s="12"/>
      <c r="Q57"/>
      <c r="R57" s="12"/>
      <c r="S57" s="12"/>
      <c r="T57" s="188"/>
      <c r="U57" s="189"/>
      <c r="V57" s="189">
        <v>8000</v>
      </c>
      <c r="W57" s="193">
        <v>0.2</v>
      </c>
      <c r="X57" s="189"/>
      <c r="Y57" s="189"/>
      <c r="Z57" s="189"/>
    </row>
    <row r="58" spans="1:26" x14ac:dyDescent="0.25">
      <c r="A58" s="4">
        <v>29</v>
      </c>
      <c r="B58" s="5" t="s">
        <v>108</v>
      </c>
      <c r="C58" s="6" t="s">
        <v>61</v>
      </c>
      <c r="D58" s="7">
        <v>31815</v>
      </c>
      <c r="E58" s="8">
        <v>41171</v>
      </c>
      <c r="F58" s="4" t="s">
        <v>26</v>
      </c>
      <c r="G58" s="4" t="s">
        <v>30</v>
      </c>
      <c r="H58" s="9">
        <v>7433</v>
      </c>
      <c r="I58" s="10">
        <f>VLOOKUP(G58,'[1]נתונים נוספים'!$B$5:$C$9,2,FALSE)*$V$2+H58</f>
        <v>8393</v>
      </c>
      <c r="J58" s="11">
        <f t="shared" ca="1" si="0"/>
        <v>56287</v>
      </c>
      <c r="K58" s="12">
        <f t="shared" ca="1" si="1"/>
        <v>2</v>
      </c>
      <c r="L58" s="11" t="str">
        <f t="shared" ca="1" si="2"/>
        <v>יקבע מועד אחר</v>
      </c>
      <c r="M58" s="12">
        <f t="shared" ca="1" si="3"/>
        <v>14</v>
      </c>
      <c r="N58" s="13">
        <f t="shared" si="4"/>
        <v>6714.4</v>
      </c>
      <c r="O58" s="12" t="str">
        <f t="shared" si="5"/>
        <v>קורס קניינות ברשת</v>
      </c>
      <c r="P58" s="12"/>
      <c r="Q58"/>
      <c r="R58" s="12"/>
      <c r="S58" s="12"/>
      <c r="T58" s="188"/>
      <c r="U58" s="189"/>
      <c r="V58" s="189">
        <v>9000</v>
      </c>
      <c r="W58" s="193">
        <v>0.3</v>
      </c>
      <c r="X58" s="189"/>
      <c r="Y58" s="189"/>
      <c r="Z58" s="189"/>
    </row>
    <row r="59" spans="1:26" x14ac:dyDescent="0.25">
      <c r="A59" s="4">
        <v>15</v>
      </c>
      <c r="B59" s="5" t="s">
        <v>109</v>
      </c>
      <c r="C59" s="6" t="s">
        <v>110</v>
      </c>
      <c r="D59" s="7">
        <v>31812</v>
      </c>
      <c r="E59" s="8">
        <v>40852</v>
      </c>
      <c r="F59" s="4" t="s">
        <v>47</v>
      </c>
      <c r="G59" s="4" t="s">
        <v>49</v>
      </c>
      <c r="H59" s="9">
        <v>9248</v>
      </c>
      <c r="I59" s="10">
        <f>VLOOKUP(G59,'[1]נתונים נוספים'!$B$5:$C$9,2,FALSE)*$V$2+H59</f>
        <v>10048</v>
      </c>
      <c r="J59" s="11">
        <f t="shared" ca="1" si="0"/>
        <v>56284</v>
      </c>
      <c r="K59" s="12">
        <f t="shared" ca="1" si="1"/>
        <v>2</v>
      </c>
      <c r="L59" s="11" t="str">
        <f t="shared" ca="1" si="2"/>
        <v>יום רביעי</v>
      </c>
      <c r="M59" s="12">
        <f t="shared" ca="1" si="3"/>
        <v>15</v>
      </c>
      <c r="N59" s="13">
        <f t="shared" si="4"/>
        <v>7536</v>
      </c>
      <c r="O59" s="12" t="str">
        <f t="shared" si="5"/>
        <v>קורס מחשבים כולל</v>
      </c>
      <c r="P59" s="12"/>
      <c r="Q59"/>
      <c r="R59" s="12"/>
      <c r="S59" s="12"/>
      <c r="T59" s="188"/>
      <c r="U59" s="189"/>
      <c r="V59" s="189">
        <v>10000</v>
      </c>
      <c r="W59" s="193">
        <v>0.4</v>
      </c>
      <c r="X59" s="189"/>
      <c r="Y59" s="189"/>
      <c r="Z59" s="189"/>
    </row>
    <row r="60" spans="1:26" x14ac:dyDescent="0.25">
      <c r="A60" s="4">
        <v>278</v>
      </c>
      <c r="B60" s="5" t="s">
        <v>111</v>
      </c>
      <c r="C60" s="6" t="s">
        <v>61</v>
      </c>
      <c r="D60" s="7">
        <v>31810</v>
      </c>
      <c r="E60" s="8">
        <v>40888</v>
      </c>
      <c r="F60" s="4" t="s">
        <v>26</v>
      </c>
      <c r="G60" s="4" t="s">
        <v>23</v>
      </c>
      <c r="H60" s="9">
        <v>9589</v>
      </c>
      <c r="I60" s="10">
        <f>VLOOKUP(G60,'[1]נתונים נוספים'!$B$5:$C$9,2,FALSE)*$V$2+H60</f>
        <v>11029</v>
      </c>
      <c r="J60" s="11">
        <f t="shared" ca="1" si="0"/>
        <v>57378</v>
      </c>
      <c r="K60" s="12">
        <f t="shared" ca="1" si="1"/>
        <v>2</v>
      </c>
      <c r="L60" s="11" t="str">
        <f t="shared" ca="1" si="2"/>
        <v>יום שישי</v>
      </c>
      <c r="M60" s="12">
        <f t="shared" ca="1" si="3"/>
        <v>15</v>
      </c>
      <c r="N60" s="13">
        <f t="shared" si="4"/>
        <v>6617.4</v>
      </c>
      <c r="O60" s="12" t="str">
        <f t="shared" si="5"/>
        <v>קורס קניינות ברשת</v>
      </c>
      <c r="P60" s="12"/>
      <c r="Q60"/>
      <c r="R60" s="12"/>
      <c r="S60" s="12"/>
      <c r="T60" s="188"/>
      <c r="U60" s="189"/>
      <c r="V60" s="189"/>
      <c r="W60" s="189"/>
      <c r="X60" s="189"/>
      <c r="Y60" s="189"/>
      <c r="Z60" s="189"/>
    </row>
    <row r="61" spans="1:26" x14ac:dyDescent="0.25">
      <c r="C61" s="15"/>
      <c r="T61" s="189"/>
      <c r="U61" s="189" t="s">
        <v>22</v>
      </c>
      <c r="V61" s="189">
        <v>0</v>
      </c>
      <c r="W61" s="193">
        <v>0.2</v>
      </c>
      <c r="X61" s="189"/>
      <c r="Y61" s="189"/>
      <c r="Z61" s="189"/>
    </row>
    <row r="62" spans="1:26" x14ac:dyDescent="0.25">
      <c r="C62" s="15"/>
      <c r="T62" s="189"/>
      <c r="U62" s="189"/>
      <c r="V62" s="189">
        <v>10000</v>
      </c>
      <c r="W62" s="193">
        <v>0.3</v>
      </c>
      <c r="X62" s="189"/>
      <c r="Y62" s="189"/>
      <c r="Z62" s="189"/>
    </row>
    <row r="63" spans="1:26" x14ac:dyDescent="0.25">
      <c r="C63" s="15"/>
      <c r="T63" s="189"/>
      <c r="U63" s="189"/>
      <c r="V63" s="189"/>
      <c r="W63" s="189"/>
      <c r="X63" s="189"/>
      <c r="Y63" s="189"/>
      <c r="Z63" s="189"/>
    </row>
    <row r="64" spans="1:26" x14ac:dyDescent="0.25">
      <c r="T64" s="189"/>
      <c r="U64" s="189"/>
      <c r="V64" s="189"/>
      <c r="W64" s="193">
        <v>0.25</v>
      </c>
      <c r="X64" s="189"/>
      <c r="Y64" s="189"/>
      <c r="Z64" s="189"/>
    </row>
    <row r="65" spans="20:26" x14ac:dyDescent="0.25">
      <c r="T65" s="189"/>
      <c r="U65" s="189"/>
      <c r="V65" s="189"/>
      <c r="W65" s="189"/>
      <c r="X65" s="189"/>
      <c r="Y65" s="189"/>
      <c r="Z65" s="189"/>
    </row>
    <row r="66" spans="20:26" x14ac:dyDescent="0.25">
      <c r="T66" s="189"/>
      <c r="U66" s="189"/>
      <c r="V66" s="189"/>
      <c r="W66" s="189"/>
      <c r="X66" s="189"/>
      <c r="Y66" s="189"/>
      <c r="Z66" s="189"/>
    </row>
    <row r="67" spans="20:26" x14ac:dyDescent="0.25">
      <c r="T67" s="189"/>
      <c r="U67" s="189" t="s">
        <v>27</v>
      </c>
      <c r="V67" s="189">
        <v>5000</v>
      </c>
      <c r="W67" s="189" t="s">
        <v>112</v>
      </c>
      <c r="X67" s="189"/>
      <c r="Y67" s="189"/>
      <c r="Z67" s="189"/>
    </row>
    <row r="68" spans="20:26" x14ac:dyDescent="0.25">
      <c r="T68" s="189"/>
      <c r="U68" s="189"/>
      <c r="V68" s="189"/>
      <c r="W68" s="189" t="s">
        <v>113</v>
      </c>
      <c r="X68" s="189"/>
      <c r="Y68" s="189"/>
      <c r="Z68" s="189"/>
    </row>
    <row r="69" spans="20:26" x14ac:dyDescent="0.25">
      <c r="T69" s="189"/>
      <c r="U69" s="189"/>
      <c r="V69" s="189"/>
      <c r="W69" s="189"/>
      <c r="X69" s="189"/>
      <c r="Y69" s="189"/>
      <c r="Z69" s="189"/>
    </row>
    <row r="70" spans="20:26" x14ac:dyDescent="0.25">
      <c r="T70" s="189"/>
      <c r="U70" s="189" t="s">
        <v>49</v>
      </c>
      <c r="V70" s="189">
        <v>2010</v>
      </c>
      <c r="W70" s="189" t="s">
        <v>114</v>
      </c>
      <c r="X70" s="189"/>
      <c r="Y70" s="189"/>
      <c r="Z70" s="189"/>
    </row>
    <row r="71" spans="20:26" x14ac:dyDescent="0.25">
      <c r="T71" s="189"/>
      <c r="U71" s="189"/>
      <c r="V71" s="189"/>
      <c r="W71" s="189"/>
      <c r="X71" s="189"/>
      <c r="Y71" s="189"/>
      <c r="Z71" s="189"/>
    </row>
    <row r="72" spans="20:26" x14ac:dyDescent="0.25">
      <c r="T72" s="189"/>
      <c r="U72" s="189"/>
      <c r="V72" s="189">
        <v>2011</v>
      </c>
      <c r="W72" s="189" t="s">
        <v>115</v>
      </c>
      <c r="X72" s="189"/>
      <c r="Y72" s="189"/>
      <c r="Z72" s="189"/>
    </row>
    <row r="73" spans="20:26" x14ac:dyDescent="0.25">
      <c r="T73" s="189"/>
      <c r="U73" s="189"/>
      <c r="V73" s="189"/>
      <c r="W73" s="189" t="s">
        <v>116</v>
      </c>
      <c r="X73" s="189"/>
      <c r="Y73" s="189"/>
      <c r="Z73" s="189"/>
    </row>
    <row r="74" spans="20:26" x14ac:dyDescent="0.25">
      <c r="T74" s="189"/>
      <c r="U74" s="189"/>
      <c r="V74" s="189"/>
      <c r="W74" s="189"/>
      <c r="X74" s="189"/>
      <c r="Y74" s="189"/>
      <c r="Z74" s="189"/>
    </row>
    <row r="75" spans="20:26" x14ac:dyDescent="0.25">
      <c r="T75" s="189"/>
      <c r="U75" s="194"/>
      <c r="V75" s="194"/>
      <c r="W75" s="194" t="s">
        <v>117</v>
      </c>
      <c r="X75" s="189"/>
      <c r="Y75" s="189"/>
      <c r="Z75" s="189"/>
    </row>
    <row r="76" spans="20:26" x14ac:dyDescent="0.25">
      <c r="T76" s="189"/>
      <c r="U76" s="189"/>
      <c r="V76" s="189"/>
      <c r="W76" s="189"/>
      <c r="X76" s="189"/>
      <c r="Y76" s="189"/>
      <c r="Z76" s="189"/>
    </row>
    <row r="77" spans="20:26" x14ac:dyDescent="0.25">
      <c r="T77" s="189"/>
      <c r="U77" s="189"/>
      <c r="V77" s="189"/>
      <c r="W77" s="189"/>
      <c r="X77" s="189"/>
      <c r="Y77" s="189"/>
      <c r="Z77" s="189"/>
    </row>
  </sheetData>
  <mergeCells count="1">
    <mergeCell ref="U9:V9"/>
  </mergeCells>
  <conditionalFormatting sqref="I2:I60">
    <cfRule type="cellIs" dxfId="4" priority="1" operator="greaterThan">
      <formula>10000</formula>
    </cfRule>
  </conditionalFormatting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D3681-5156-4101-B4B5-0A831568930C}">
  <dimension ref="A1:N26"/>
  <sheetViews>
    <sheetView rightToLeft="1" zoomScale="85" zoomScaleNormal="85" workbookViewId="0">
      <selection activeCell="G9" sqref="G9"/>
    </sheetView>
  </sheetViews>
  <sheetFormatPr defaultRowHeight="13.8" x14ac:dyDescent="0.25"/>
  <cols>
    <col min="1" max="1" width="21.5" customWidth="1"/>
    <col min="2" max="2" width="27.5" customWidth="1"/>
    <col min="6" max="6" width="18.5" customWidth="1"/>
  </cols>
  <sheetData>
    <row r="1" spans="1:14" ht="21" x14ac:dyDescent="0.4">
      <c r="A1" s="129" t="s">
        <v>310</v>
      </c>
      <c r="B1" s="121" t="s">
        <v>323</v>
      </c>
      <c r="C1" s="122"/>
      <c r="D1" s="122"/>
      <c r="E1" s="122"/>
      <c r="F1" s="122"/>
      <c r="G1" s="122"/>
      <c r="H1" s="122"/>
      <c r="I1" s="103"/>
      <c r="J1" s="103"/>
      <c r="K1" s="103"/>
      <c r="L1" s="103"/>
      <c r="M1" s="103"/>
      <c r="N1" s="122"/>
    </row>
    <row r="2" spans="1:14" ht="14.4" x14ac:dyDescent="0.3">
      <c r="A2" s="105">
        <v>1855</v>
      </c>
      <c r="B2" s="117" t="s">
        <v>361</v>
      </c>
      <c r="C2" s="123"/>
      <c r="D2" s="124"/>
      <c r="E2" s="125"/>
      <c r="F2" s="123"/>
      <c r="G2" s="126"/>
      <c r="H2" s="127"/>
      <c r="I2" s="109"/>
      <c r="J2" s="109"/>
      <c r="K2" s="3"/>
      <c r="L2" s="11"/>
      <c r="M2" s="3"/>
      <c r="N2" s="3"/>
    </row>
    <row r="3" spans="1:14" ht="14.4" x14ac:dyDescent="0.3">
      <c r="A3" s="105">
        <v>1856</v>
      </c>
      <c r="B3" s="117" t="s">
        <v>359</v>
      </c>
      <c r="C3" s="123"/>
      <c r="D3" s="124"/>
      <c r="E3" s="125"/>
      <c r="F3" s="123"/>
      <c r="G3" s="126"/>
      <c r="H3" s="127"/>
      <c r="I3" s="109"/>
      <c r="J3" s="109"/>
      <c r="K3" s="3"/>
      <c r="L3" s="11"/>
      <c r="M3" s="3"/>
      <c r="N3" s="3"/>
    </row>
    <row r="4" spans="1:14" ht="14.4" x14ac:dyDescent="0.3">
      <c r="A4" s="105">
        <v>1857</v>
      </c>
      <c r="B4" s="117" t="s">
        <v>361</v>
      </c>
      <c r="C4" s="123"/>
      <c r="D4" s="124"/>
      <c r="E4" s="125"/>
      <c r="F4" s="123"/>
      <c r="G4" s="126"/>
      <c r="H4" s="127"/>
      <c r="I4" s="109"/>
      <c r="J4" s="109"/>
      <c r="K4" s="3"/>
      <c r="L4" s="11"/>
      <c r="M4" s="3"/>
      <c r="N4" s="3"/>
    </row>
    <row r="5" spans="1:14" ht="14.4" x14ac:dyDescent="0.3">
      <c r="A5" s="105">
        <v>1858</v>
      </c>
      <c r="B5" s="117" t="s">
        <v>360</v>
      </c>
      <c r="C5" s="123"/>
      <c r="D5" s="124"/>
      <c r="E5" s="125"/>
      <c r="F5" s="123"/>
      <c r="G5" s="126"/>
      <c r="H5" s="127"/>
      <c r="I5" s="109"/>
      <c r="J5" s="109"/>
      <c r="K5" s="3"/>
      <c r="L5" s="11"/>
      <c r="M5" s="3"/>
      <c r="N5" s="3"/>
    </row>
    <row r="6" spans="1:14" ht="14.4" x14ac:dyDescent="0.3">
      <c r="A6" s="105">
        <v>1859</v>
      </c>
      <c r="B6" s="117" t="s">
        <v>361</v>
      </c>
      <c r="C6" s="123"/>
      <c r="D6" s="124"/>
      <c r="E6" s="125"/>
      <c r="F6" s="123"/>
      <c r="G6" s="126"/>
      <c r="H6" s="127"/>
      <c r="I6" s="109"/>
      <c r="J6" s="109"/>
      <c r="K6" s="3"/>
      <c r="L6" s="11"/>
      <c r="M6" s="3"/>
      <c r="N6" s="3"/>
    </row>
    <row r="7" spans="1:14" ht="14.4" x14ac:dyDescent="0.3">
      <c r="A7" s="105">
        <v>1860</v>
      </c>
      <c r="B7" s="117" t="s">
        <v>359</v>
      </c>
      <c r="C7" s="123"/>
      <c r="D7" s="124"/>
      <c r="E7" s="125"/>
      <c r="F7" s="123"/>
      <c r="G7" s="126"/>
      <c r="H7" s="127"/>
      <c r="I7" s="109"/>
      <c r="J7" s="109"/>
      <c r="K7" s="3"/>
      <c r="L7" s="11"/>
      <c r="M7" s="3"/>
      <c r="N7" s="3"/>
    </row>
    <row r="8" spans="1:14" ht="14.4" x14ac:dyDescent="0.3">
      <c r="A8" s="105">
        <v>1861</v>
      </c>
      <c r="B8" s="117" t="s">
        <v>359</v>
      </c>
      <c r="C8" s="123"/>
      <c r="D8" s="124"/>
      <c r="E8" s="125"/>
      <c r="F8" s="123"/>
      <c r="G8" s="126"/>
      <c r="H8" s="127"/>
      <c r="I8" s="109"/>
      <c r="J8" s="109"/>
      <c r="K8" s="3"/>
      <c r="L8" s="11"/>
      <c r="M8" s="3"/>
      <c r="N8" s="3"/>
    </row>
    <row r="9" spans="1:14" ht="18" x14ac:dyDescent="0.35">
      <c r="A9" s="105">
        <v>1862</v>
      </c>
      <c r="B9" s="117" t="s">
        <v>359</v>
      </c>
      <c r="C9" s="123"/>
      <c r="D9" s="124"/>
      <c r="E9" s="128"/>
      <c r="F9" s="210"/>
      <c r="G9" s="126"/>
      <c r="H9" s="127"/>
      <c r="I9" s="109"/>
      <c r="J9" s="109"/>
      <c r="K9" s="3"/>
      <c r="L9" s="11"/>
      <c r="M9" s="3"/>
      <c r="N9" s="3"/>
    </row>
    <row r="10" spans="1:14" ht="14.4" x14ac:dyDescent="0.3">
      <c r="A10" s="105">
        <v>1863</v>
      </c>
      <c r="B10" s="117" t="s">
        <v>359</v>
      </c>
      <c r="C10" s="123"/>
      <c r="D10" s="124"/>
      <c r="E10" s="125"/>
      <c r="F10" s="123"/>
      <c r="G10" s="126"/>
      <c r="H10" s="127"/>
      <c r="I10" s="109"/>
      <c r="J10" s="109"/>
      <c r="K10" s="3"/>
      <c r="L10" s="11"/>
      <c r="M10" s="3"/>
      <c r="N10" s="3"/>
    </row>
    <row r="11" spans="1:14" ht="14.4" x14ac:dyDescent="0.3">
      <c r="A11" s="105">
        <v>1864</v>
      </c>
      <c r="B11" s="117" t="s">
        <v>346</v>
      </c>
      <c r="C11" s="123"/>
      <c r="D11" s="124"/>
      <c r="E11" s="125"/>
      <c r="F11" s="123"/>
      <c r="G11" s="126"/>
      <c r="H11" s="127"/>
      <c r="I11" s="109"/>
      <c r="J11" s="109"/>
      <c r="K11" s="3"/>
      <c r="L11" s="11"/>
      <c r="M11" s="3"/>
      <c r="N11" s="3"/>
    </row>
    <row r="12" spans="1:14" ht="14.4" x14ac:dyDescent="0.3">
      <c r="A12" s="105">
        <v>1865</v>
      </c>
      <c r="B12" s="117" t="s">
        <v>361</v>
      </c>
      <c r="C12" s="123"/>
      <c r="D12" s="124"/>
      <c r="E12" s="125"/>
      <c r="F12" s="123"/>
      <c r="G12" s="126"/>
      <c r="H12" s="127"/>
      <c r="I12" s="109"/>
      <c r="J12" s="109"/>
      <c r="K12" s="3"/>
      <c r="L12" s="11"/>
      <c r="M12" s="3"/>
      <c r="N12" s="3"/>
    </row>
    <row r="13" spans="1:14" ht="14.4" x14ac:dyDescent="0.3">
      <c r="A13" s="105">
        <v>1866</v>
      </c>
      <c r="B13" s="117" t="s">
        <v>339</v>
      </c>
      <c r="C13" s="123"/>
      <c r="D13" s="124"/>
      <c r="E13" s="125"/>
      <c r="F13" s="123"/>
      <c r="G13" s="126"/>
      <c r="H13" s="127"/>
      <c r="I13" s="109"/>
      <c r="J13" s="109"/>
      <c r="K13" s="3"/>
      <c r="L13" s="11"/>
      <c r="M13" s="3"/>
      <c r="N13" s="3"/>
    </row>
    <row r="14" spans="1:14" ht="18" x14ac:dyDescent="0.35">
      <c r="A14" s="105">
        <v>1867</v>
      </c>
      <c r="B14" s="117" t="s">
        <v>346</v>
      </c>
      <c r="C14" s="123"/>
      <c r="D14" s="124"/>
      <c r="E14" s="125"/>
      <c r="F14" s="210"/>
      <c r="G14" s="126"/>
      <c r="H14" s="127"/>
      <c r="I14" s="109"/>
      <c r="J14" s="109"/>
      <c r="K14" s="3"/>
      <c r="L14" s="11"/>
      <c r="M14" s="3"/>
      <c r="N14" s="3"/>
    </row>
    <row r="15" spans="1:14" ht="14.4" x14ac:dyDescent="0.3">
      <c r="A15" s="105">
        <v>1868</v>
      </c>
      <c r="B15" s="117" t="s">
        <v>346</v>
      </c>
      <c r="C15" s="123"/>
      <c r="D15" s="124"/>
      <c r="E15" s="125"/>
      <c r="F15" s="123"/>
      <c r="G15" s="126"/>
      <c r="H15" s="127"/>
      <c r="I15" s="109"/>
      <c r="J15" s="109"/>
      <c r="K15" s="3"/>
      <c r="L15" s="11"/>
      <c r="M15" s="3"/>
      <c r="N15" s="3"/>
    </row>
    <row r="16" spans="1:14" ht="14.4" x14ac:dyDescent="0.3">
      <c r="A16" s="105">
        <v>1869</v>
      </c>
      <c r="B16" s="117" t="s">
        <v>339</v>
      </c>
      <c r="C16" s="123"/>
      <c r="D16" s="124"/>
      <c r="E16" s="125"/>
      <c r="F16" s="123"/>
      <c r="G16" s="126"/>
      <c r="H16" s="127"/>
      <c r="I16" s="109"/>
      <c r="J16" s="109"/>
      <c r="K16" s="3"/>
      <c r="L16" s="11"/>
      <c r="M16" s="3"/>
      <c r="N16" s="3"/>
    </row>
    <row r="17" spans="1:14" ht="14.4" x14ac:dyDescent="0.3">
      <c r="A17" s="105">
        <v>1870</v>
      </c>
      <c r="B17" s="117" t="s">
        <v>360</v>
      </c>
      <c r="C17" s="123"/>
      <c r="D17" s="124"/>
      <c r="E17" s="125"/>
      <c r="F17" s="123"/>
      <c r="G17" s="126"/>
      <c r="H17" s="127"/>
      <c r="I17" s="109"/>
      <c r="J17" s="109"/>
      <c r="K17" s="3"/>
      <c r="L17" s="11"/>
      <c r="M17" s="3"/>
      <c r="N17" s="3"/>
    </row>
    <row r="18" spans="1:14" ht="14.4" x14ac:dyDescent="0.3">
      <c r="A18" s="105">
        <v>1871</v>
      </c>
      <c r="B18" s="117" t="s">
        <v>360</v>
      </c>
      <c r="C18" s="123"/>
      <c r="D18" s="124"/>
      <c r="E18" s="125"/>
      <c r="F18" s="123"/>
      <c r="G18" s="126"/>
      <c r="H18" s="127"/>
      <c r="I18" s="109"/>
      <c r="J18" s="109"/>
      <c r="K18" s="3"/>
      <c r="L18" s="11"/>
      <c r="M18" s="3"/>
      <c r="N18" s="3"/>
    </row>
    <row r="19" spans="1:14" ht="14.4" x14ac:dyDescent="0.3">
      <c r="A19" s="105">
        <v>1872</v>
      </c>
      <c r="B19" s="117" t="s">
        <v>361</v>
      </c>
      <c r="C19" s="123"/>
      <c r="D19" s="124"/>
      <c r="E19" s="125"/>
      <c r="F19" s="123"/>
      <c r="G19" s="126"/>
      <c r="H19" s="127"/>
      <c r="I19" s="109"/>
      <c r="J19" s="109"/>
      <c r="K19" s="3"/>
      <c r="L19" s="11"/>
      <c r="M19" s="3"/>
      <c r="N19" s="3"/>
    </row>
    <row r="20" spans="1:14" ht="14.4" x14ac:dyDescent="0.3">
      <c r="A20" s="105">
        <v>1873</v>
      </c>
      <c r="B20" s="117" t="s">
        <v>331</v>
      </c>
      <c r="C20" s="123"/>
      <c r="D20" s="124"/>
      <c r="E20" s="125"/>
      <c r="F20" s="123"/>
      <c r="G20" s="126"/>
      <c r="H20" s="127"/>
      <c r="I20" s="109"/>
      <c r="J20" s="109"/>
      <c r="K20" s="3"/>
      <c r="L20" s="11"/>
      <c r="M20" s="3"/>
      <c r="N20" s="3"/>
    </row>
    <row r="21" spans="1:14" ht="14.4" x14ac:dyDescent="0.3">
      <c r="A21" s="105">
        <v>1874</v>
      </c>
      <c r="B21" s="117" t="s">
        <v>359</v>
      </c>
      <c r="C21" s="123"/>
      <c r="D21" s="124"/>
      <c r="E21" s="125"/>
      <c r="F21" s="123"/>
      <c r="G21" s="126"/>
      <c r="H21" s="127"/>
      <c r="I21" s="109"/>
      <c r="J21" s="109"/>
      <c r="K21" s="3"/>
      <c r="L21" s="11"/>
      <c r="M21" s="3"/>
      <c r="N21" s="3"/>
    </row>
    <row r="22" spans="1:14" ht="14.4" x14ac:dyDescent="0.3">
      <c r="A22" s="105">
        <v>1875</v>
      </c>
      <c r="B22" s="117" t="s">
        <v>331</v>
      </c>
      <c r="C22" s="123"/>
      <c r="D22" s="124"/>
      <c r="E22" s="125"/>
      <c r="F22" s="123"/>
      <c r="G22" s="126"/>
      <c r="H22" s="127"/>
      <c r="I22" s="109"/>
      <c r="J22" s="109"/>
      <c r="K22" s="3"/>
      <c r="L22" s="11"/>
      <c r="M22" s="3"/>
      <c r="N22" s="3"/>
    </row>
    <row r="23" spans="1:14" ht="14.4" x14ac:dyDescent="0.3">
      <c r="A23" s="105">
        <v>1876</v>
      </c>
      <c r="B23" s="117" t="s">
        <v>346</v>
      </c>
      <c r="C23" s="123"/>
      <c r="D23" s="124"/>
      <c r="E23" s="125"/>
      <c r="F23" s="123"/>
      <c r="G23" s="126"/>
      <c r="H23" s="127"/>
      <c r="I23" s="109"/>
      <c r="J23" s="109"/>
      <c r="K23" s="3"/>
      <c r="L23" s="11"/>
      <c r="M23" s="3"/>
      <c r="N23" s="3"/>
    </row>
    <row r="24" spans="1:14" ht="14.4" x14ac:dyDescent="0.3">
      <c r="A24" s="105">
        <v>1877</v>
      </c>
      <c r="B24" s="117" t="s">
        <v>346</v>
      </c>
      <c r="C24" s="123"/>
      <c r="D24" s="124"/>
      <c r="E24" s="125"/>
      <c r="F24" s="123"/>
      <c r="G24" s="126"/>
      <c r="H24" s="127"/>
      <c r="I24" s="109"/>
      <c r="J24" s="109"/>
      <c r="K24" s="3"/>
      <c r="L24" s="11"/>
      <c r="M24" s="3"/>
      <c r="N24" s="3"/>
    </row>
    <row r="25" spans="1:14" ht="14.4" x14ac:dyDescent="0.3">
      <c r="A25" s="105">
        <v>1878</v>
      </c>
      <c r="B25" s="117" t="s">
        <v>360</v>
      </c>
      <c r="C25" s="123"/>
      <c r="D25" s="124"/>
      <c r="E25" s="125"/>
      <c r="F25" s="123"/>
      <c r="G25" s="126"/>
      <c r="H25" s="127"/>
      <c r="I25" s="109"/>
      <c r="J25" s="109"/>
      <c r="K25" s="3"/>
      <c r="L25" s="11"/>
      <c r="M25" s="3"/>
      <c r="N25" s="3"/>
    </row>
    <row r="26" spans="1:14" ht="14.4" x14ac:dyDescent="0.3">
      <c r="A26" s="105">
        <v>1879</v>
      </c>
      <c r="B26" s="117" t="s">
        <v>346</v>
      </c>
      <c r="C26" s="123"/>
      <c r="D26" s="124"/>
      <c r="E26" s="125"/>
      <c r="F26" s="123"/>
      <c r="G26" s="126"/>
      <c r="H26" s="127"/>
      <c r="I26" s="109"/>
      <c r="J26" s="109"/>
      <c r="K26" s="3"/>
      <c r="L26" s="11"/>
      <c r="M26" s="3"/>
      <c r="N26" s="3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B0F385-D762-4B14-9ABB-6A897A7E2124}">
  <dimension ref="A1:P36"/>
  <sheetViews>
    <sheetView rightToLeft="1" zoomScaleNormal="100" workbookViewId="0">
      <selection activeCell="J18" sqref="J18"/>
    </sheetView>
  </sheetViews>
  <sheetFormatPr defaultColWidth="8.796875" defaultRowHeight="15" x14ac:dyDescent="0.25"/>
  <cols>
    <col min="1" max="1" width="14.69921875" style="24" customWidth="1"/>
    <col min="2" max="2" width="9.19921875" style="24" customWidth="1"/>
    <col min="3" max="3" width="10" style="24" bestFit="1" customWidth="1"/>
    <col min="4" max="4" width="12.59765625" style="24" customWidth="1"/>
    <col min="5" max="5" width="13.69921875" style="24" customWidth="1"/>
    <col min="6" max="6" width="10" style="24" bestFit="1" customWidth="1"/>
    <col min="7" max="7" width="13" style="24" customWidth="1"/>
    <col min="8" max="8" width="14.296875" style="24" customWidth="1"/>
    <col min="9" max="9" width="14.3984375" style="24" customWidth="1"/>
    <col min="10" max="10" width="13.59765625" style="24" customWidth="1"/>
    <col min="11" max="12" width="8.796875" style="24"/>
    <col min="13" max="13" width="11.09765625" style="24" bestFit="1" customWidth="1"/>
    <col min="14" max="14" width="12.19921875" style="24" bestFit="1" customWidth="1"/>
    <col min="15" max="16" width="10.59765625" style="24" bestFit="1" customWidth="1"/>
    <col min="17" max="249" width="8.796875" style="24"/>
    <col min="250" max="250" width="9.19921875" style="24" bestFit="1" customWidth="1"/>
    <col min="251" max="251" width="9.19921875" style="24" customWidth="1"/>
    <col min="252" max="252" width="9.19921875" style="24" bestFit="1" customWidth="1"/>
    <col min="253" max="253" width="10" style="24" bestFit="1" customWidth="1"/>
    <col min="254" max="254" width="8.796875" style="24"/>
    <col min="255" max="255" width="9.19921875" style="24" bestFit="1" customWidth="1"/>
    <col min="256" max="256" width="9.19921875" style="24" customWidth="1"/>
    <col min="257" max="257" width="11.296875" style="24" customWidth="1"/>
    <col min="258" max="260" width="8.796875" style="24"/>
    <col min="261" max="261" width="8.796875" style="24" bestFit="1" customWidth="1"/>
    <col min="262" max="505" width="8.796875" style="24"/>
    <col min="506" max="506" width="9.19921875" style="24" bestFit="1" customWidth="1"/>
    <col min="507" max="507" width="9.19921875" style="24" customWidth="1"/>
    <col min="508" max="508" width="9.19921875" style="24" bestFit="1" customWidth="1"/>
    <col min="509" max="509" width="10" style="24" bestFit="1" customWidth="1"/>
    <col min="510" max="510" width="8.796875" style="24"/>
    <col min="511" max="511" width="9.19921875" style="24" bestFit="1" customWidth="1"/>
    <col min="512" max="512" width="9.19921875" style="24" customWidth="1"/>
    <col min="513" max="513" width="11.296875" style="24" customWidth="1"/>
    <col min="514" max="516" width="8.796875" style="24"/>
    <col min="517" max="517" width="8.796875" style="24" bestFit="1" customWidth="1"/>
    <col min="518" max="761" width="8.796875" style="24"/>
    <col min="762" max="762" width="9.19921875" style="24" bestFit="1" customWidth="1"/>
    <col min="763" max="763" width="9.19921875" style="24" customWidth="1"/>
    <col min="764" max="764" width="9.19921875" style="24" bestFit="1" customWidth="1"/>
    <col min="765" max="765" width="10" style="24" bestFit="1" customWidth="1"/>
    <col min="766" max="766" width="8.796875" style="24"/>
    <col min="767" max="767" width="9.19921875" style="24" bestFit="1" customWidth="1"/>
    <col min="768" max="768" width="9.19921875" style="24" customWidth="1"/>
    <col min="769" max="769" width="11.296875" style="24" customWidth="1"/>
    <col min="770" max="772" width="8.796875" style="24"/>
    <col min="773" max="773" width="8.796875" style="24" bestFit="1" customWidth="1"/>
    <col min="774" max="1017" width="8.796875" style="24"/>
    <col min="1018" max="1018" width="9.19921875" style="24" bestFit="1" customWidth="1"/>
    <col min="1019" max="1019" width="9.19921875" style="24" customWidth="1"/>
    <col min="1020" max="1020" width="9.19921875" style="24" bestFit="1" customWidth="1"/>
    <col min="1021" max="1021" width="10" style="24" bestFit="1" customWidth="1"/>
    <col min="1022" max="1022" width="8.796875" style="24"/>
    <col min="1023" max="1023" width="9.19921875" style="24" bestFit="1" customWidth="1"/>
    <col min="1024" max="1024" width="9.19921875" style="24" customWidth="1"/>
    <col min="1025" max="1025" width="11.296875" style="24" customWidth="1"/>
    <col min="1026" max="1028" width="8.796875" style="24"/>
    <col min="1029" max="1029" width="8.796875" style="24" bestFit="1" customWidth="1"/>
    <col min="1030" max="1273" width="8.796875" style="24"/>
    <col min="1274" max="1274" width="9.19921875" style="24" bestFit="1" customWidth="1"/>
    <col min="1275" max="1275" width="9.19921875" style="24" customWidth="1"/>
    <col min="1276" max="1276" width="9.19921875" style="24" bestFit="1" customWidth="1"/>
    <col min="1277" max="1277" width="10" style="24" bestFit="1" customWidth="1"/>
    <col min="1278" max="1278" width="8.796875" style="24"/>
    <col min="1279" max="1279" width="9.19921875" style="24" bestFit="1" customWidth="1"/>
    <col min="1280" max="1280" width="9.19921875" style="24" customWidth="1"/>
    <col min="1281" max="1281" width="11.296875" style="24" customWidth="1"/>
    <col min="1282" max="1284" width="8.796875" style="24"/>
    <col min="1285" max="1285" width="8.796875" style="24" bestFit="1" customWidth="1"/>
    <col min="1286" max="1529" width="8.796875" style="24"/>
    <col min="1530" max="1530" width="9.19921875" style="24" bestFit="1" customWidth="1"/>
    <col min="1531" max="1531" width="9.19921875" style="24" customWidth="1"/>
    <col min="1532" max="1532" width="9.19921875" style="24" bestFit="1" customWidth="1"/>
    <col min="1533" max="1533" width="10" style="24" bestFit="1" customWidth="1"/>
    <col min="1534" max="1534" width="8.796875" style="24"/>
    <col min="1535" max="1535" width="9.19921875" style="24" bestFit="1" customWidth="1"/>
    <col min="1536" max="1536" width="9.19921875" style="24" customWidth="1"/>
    <col min="1537" max="1537" width="11.296875" style="24" customWidth="1"/>
    <col min="1538" max="1540" width="8.796875" style="24"/>
    <col min="1541" max="1541" width="8.796875" style="24" bestFit="1" customWidth="1"/>
    <col min="1542" max="1785" width="8.796875" style="24"/>
    <col min="1786" max="1786" width="9.19921875" style="24" bestFit="1" customWidth="1"/>
    <col min="1787" max="1787" width="9.19921875" style="24" customWidth="1"/>
    <col min="1788" max="1788" width="9.19921875" style="24" bestFit="1" customWidth="1"/>
    <col min="1789" max="1789" width="10" style="24" bestFit="1" customWidth="1"/>
    <col min="1790" max="1790" width="8.796875" style="24"/>
    <col min="1791" max="1791" width="9.19921875" style="24" bestFit="1" customWidth="1"/>
    <col min="1792" max="1792" width="9.19921875" style="24" customWidth="1"/>
    <col min="1793" max="1793" width="11.296875" style="24" customWidth="1"/>
    <col min="1794" max="1796" width="8.796875" style="24"/>
    <col min="1797" max="1797" width="8.796875" style="24" bestFit="1" customWidth="1"/>
    <col min="1798" max="2041" width="8.796875" style="24"/>
    <col min="2042" max="2042" width="9.19921875" style="24" bestFit="1" customWidth="1"/>
    <col min="2043" max="2043" width="9.19921875" style="24" customWidth="1"/>
    <col min="2044" max="2044" width="9.19921875" style="24" bestFit="1" customWidth="1"/>
    <col min="2045" max="2045" width="10" style="24" bestFit="1" customWidth="1"/>
    <col min="2046" max="2046" width="8.796875" style="24"/>
    <col min="2047" max="2047" width="9.19921875" style="24" bestFit="1" customWidth="1"/>
    <col min="2048" max="2048" width="9.19921875" style="24" customWidth="1"/>
    <col min="2049" max="2049" width="11.296875" style="24" customWidth="1"/>
    <col min="2050" max="2052" width="8.796875" style="24"/>
    <col min="2053" max="2053" width="8.796875" style="24" bestFit="1" customWidth="1"/>
    <col min="2054" max="2297" width="8.796875" style="24"/>
    <col min="2298" max="2298" width="9.19921875" style="24" bestFit="1" customWidth="1"/>
    <col min="2299" max="2299" width="9.19921875" style="24" customWidth="1"/>
    <col min="2300" max="2300" width="9.19921875" style="24" bestFit="1" customWidth="1"/>
    <col min="2301" max="2301" width="10" style="24" bestFit="1" customWidth="1"/>
    <col min="2302" max="2302" width="8.796875" style="24"/>
    <col min="2303" max="2303" width="9.19921875" style="24" bestFit="1" customWidth="1"/>
    <col min="2304" max="2304" width="9.19921875" style="24" customWidth="1"/>
    <col min="2305" max="2305" width="11.296875" style="24" customWidth="1"/>
    <col min="2306" max="2308" width="8.796875" style="24"/>
    <col min="2309" max="2309" width="8.796875" style="24" bestFit="1" customWidth="1"/>
    <col min="2310" max="2553" width="8.796875" style="24"/>
    <col min="2554" max="2554" width="9.19921875" style="24" bestFit="1" customWidth="1"/>
    <col min="2555" max="2555" width="9.19921875" style="24" customWidth="1"/>
    <col min="2556" max="2556" width="9.19921875" style="24" bestFit="1" customWidth="1"/>
    <col min="2557" max="2557" width="10" style="24" bestFit="1" customWidth="1"/>
    <col min="2558" max="2558" width="8.796875" style="24"/>
    <col min="2559" max="2559" width="9.19921875" style="24" bestFit="1" customWidth="1"/>
    <col min="2560" max="2560" width="9.19921875" style="24" customWidth="1"/>
    <col min="2561" max="2561" width="11.296875" style="24" customWidth="1"/>
    <col min="2562" max="2564" width="8.796875" style="24"/>
    <col min="2565" max="2565" width="8.796875" style="24" bestFit="1" customWidth="1"/>
    <col min="2566" max="2809" width="8.796875" style="24"/>
    <col min="2810" max="2810" width="9.19921875" style="24" bestFit="1" customWidth="1"/>
    <col min="2811" max="2811" width="9.19921875" style="24" customWidth="1"/>
    <col min="2812" max="2812" width="9.19921875" style="24" bestFit="1" customWidth="1"/>
    <col min="2813" max="2813" width="10" style="24" bestFit="1" customWidth="1"/>
    <col min="2814" max="2814" width="8.796875" style="24"/>
    <col min="2815" max="2815" width="9.19921875" style="24" bestFit="1" customWidth="1"/>
    <col min="2816" max="2816" width="9.19921875" style="24" customWidth="1"/>
    <col min="2817" max="2817" width="11.296875" style="24" customWidth="1"/>
    <col min="2818" max="2820" width="8.796875" style="24"/>
    <col min="2821" max="2821" width="8.796875" style="24" bestFit="1" customWidth="1"/>
    <col min="2822" max="3065" width="8.796875" style="24"/>
    <col min="3066" max="3066" width="9.19921875" style="24" bestFit="1" customWidth="1"/>
    <col min="3067" max="3067" width="9.19921875" style="24" customWidth="1"/>
    <col min="3068" max="3068" width="9.19921875" style="24" bestFit="1" customWidth="1"/>
    <col min="3069" max="3069" width="10" style="24" bestFit="1" customWidth="1"/>
    <col min="3070" max="3070" width="8.796875" style="24"/>
    <col min="3071" max="3071" width="9.19921875" style="24" bestFit="1" customWidth="1"/>
    <col min="3072" max="3072" width="9.19921875" style="24" customWidth="1"/>
    <col min="3073" max="3073" width="11.296875" style="24" customWidth="1"/>
    <col min="3074" max="3076" width="8.796875" style="24"/>
    <col min="3077" max="3077" width="8.796875" style="24" bestFit="1" customWidth="1"/>
    <col min="3078" max="3321" width="8.796875" style="24"/>
    <col min="3322" max="3322" width="9.19921875" style="24" bestFit="1" customWidth="1"/>
    <col min="3323" max="3323" width="9.19921875" style="24" customWidth="1"/>
    <col min="3324" max="3324" width="9.19921875" style="24" bestFit="1" customWidth="1"/>
    <col min="3325" max="3325" width="10" style="24" bestFit="1" customWidth="1"/>
    <col min="3326" max="3326" width="8.796875" style="24"/>
    <col min="3327" max="3327" width="9.19921875" style="24" bestFit="1" customWidth="1"/>
    <col min="3328" max="3328" width="9.19921875" style="24" customWidth="1"/>
    <col min="3329" max="3329" width="11.296875" style="24" customWidth="1"/>
    <col min="3330" max="3332" width="8.796875" style="24"/>
    <col min="3333" max="3333" width="8.796875" style="24" bestFit="1" customWidth="1"/>
    <col min="3334" max="3577" width="8.796875" style="24"/>
    <col min="3578" max="3578" width="9.19921875" style="24" bestFit="1" customWidth="1"/>
    <col min="3579" max="3579" width="9.19921875" style="24" customWidth="1"/>
    <col min="3580" max="3580" width="9.19921875" style="24" bestFit="1" customWidth="1"/>
    <col min="3581" max="3581" width="10" style="24" bestFit="1" customWidth="1"/>
    <col min="3582" max="3582" width="8.796875" style="24"/>
    <col min="3583" max="3583" width="9.19921875" style="24" bestFit="1" customWidth="1"/>
    <col min="3584" max="3584" width="9.19921875" style="24" customWidth="1"/>
    <col min="3585" max="3585" width="11.296875" style="24" customWidth="1"/>
    <col min="3586" max="3588" width="8.796875" style="24"/>
    <col min="3589" max="3589" width="8.796875" style="24" bestFit="1" customWidth="1"/>
    <col min="3590" max="3833" width="8.796875" style="24"/>
    <col min="3834" max="3834" width="9.19921875" style="24" bestFit="1" customWidth="1"/>
    <col min="3835" max="3835" width="9.19921875" style="24" customWidth="1"/>
    <col min="3836" max="3836" width="9.19921875" style="24" bestFit="1" customWidth="1"/>
    <col min="3837" max="3837" width="10" style="24" bestFit="1" customWidth="1"/>
    <col min="3838" max="3838" width="8.796875" style="24"/>
    <col min="3839" max="3839" width="9.19921875" style="24" bestFit="1" customWidth="1"/>
    <col min="3840" max="3840" width="9.19921875" style="24" customWidth="1"/>
    <col min="3841" max="3841" width="11.296875" style="24" customWidth="1"/>
    <col min="3842" max="3844" width="8.796875" style="24"/>
    <col min="3845" max="3845" width="8.796875" style="24" bestFit="1" customWidth="1"/>
    <col min="3846" max="4089" width="8.796875" style="24"/>
    <col min="4090" max="4090" width="9.19921875" style="24" bestFit="1" customWidth="1"/>
    <col min="4091" max="4091" width="9.19921875" style="24" customWidth="1"/>
    <col min="4092" max="4092" width="9.19921875" style="24" bestFit="1" customWidth="1"/>
    <col min="4093" max="4093" width="10" style="24" bestFit="1" customWidth="1"/>
    <col min="4094" max="4094" width="8.796875" style="24"/>
    <col min="4095" max="4095" width="9.19921875" style="24" bestFit="1" customWidth="1"/>
    <col min="4096" max="4096" width="9.19921875" style="24" customWidth="1"/>
    <col min="4097" max="4097" width="11.296875" style="24" customWidth="1"/>
    <col min="4098" max="4100" width="8.796875" style="24"/>
    <col min="4101" max="4101" width="8.796875" style="24" bestFit="1" customWidth="1"/>
    <col min="4102" max="4345" width="8.796875" style="24"/>
    <col min="4346" max="4346" width="9.19921875" style="24" bestFit="1" customWidth="1"/>
    <col min="4347" max="4347" width="9.19921875" style="24" customWidth="1"/>
    <col min="4348" max="4348" width="9.19921875" style="24" bestFit="1" customWidth="1"/>
    <col min="4349" max="4349" width="10" style="24" bestFit="1" customWidth="1"/>
    <col min="4350" max="4350" width="8.796875" style="24"/>
    <col min="4351" max="4351" width="9.19921875" style="24" bestFit="1" customWidth="1"/>
    <col min="4352" max="4352" width="9.19921875" style="24" customWidth="1"/>
    <col min="4353" max="4353" width="11.296875" style="24" customWidth="1"/>
    <col min="4354" max="4356" width="8.796875" style="24"/>
    <col min="4357" max="4357" width="8.796875" style="24" bestFit="1" customWidth="1"/>
    <col min="4358" max="4601" width="8.796875" style="24"/>
    <col min="4602" max="4602" width="9.19921875" style="24" bestFit="1" customWidth="1"/>
    <col min="4603" max="4603" width="9.19921875" style="24" customWidth="1"/>
    <col min="4604" max="4604" width="9.19921875" style="24" bestFit="1" customWidth="1"/>
    <col min="4605" max="4605" width="10" style="24" bestFit="1" customWidth="1"/>
    <col min="4606" max="4606" width="8.796875" style="24"/>
    <col min="4607" max="4607" width="9.19921875" style="24" bestFit="1" customWidth="1"/>
    <col min="4608" max="4608" width="9.19921875" style="24" customWidth="1"/>
    <col min="4609" max="4609" width="11.296875" style="24" customWidth="1"/>
    <col min="4610" max="4612" width="8.796875" style="24"/>
    <col min="4613" max="4613" width="8.796875" style="24" bestFit="1" customWidth="1"/>
    <col min="4614" max="4857" width="8.796875" style="24"/>
    <col min="4858" max="4858" width="9.19921875" style="24" bestFit="1" customWidth="1"/>
    <col min="4859" max="4859" width="9.19921875" style="24" customWidth="1"/>
    <col min="4860" max="4860" width="9.19921875" style="24" bestFit="1" customWidth="1"/>
    <col min="4861" max="4861" width="10" style="24" bestFit="1" customWidth="1"/>
    <col min="4862" max="4862" width="8.796875" style="24"/>
    <col min="4863" max="4863" width="9.19921875" style="24" bestFit="1" customWidth="1"/>
    <col min="4864" max="4864" width="9.19921875" style="24" customWidth="1"/>
    <col min="4865" max="4865" width="11.296875" style="24" customWidth="1"/>
    <col min="4866" max="4868" width="8.796875" style="24"/>
    <col min="4869" max="4869" width="8.796875" style="24" bestFit="1" customWidth="1"/>
    <col min="4870" max="5113" width="8.796875" style="24"/>
    <col min="5114" max="5114" width="9.19921875" style="24" bestFit="1" customWidth="1"/>
    <col min="5115" max="5115" width="9.19921875" style="24" customWidth="1"/>
    <col min="5116" max="5116" width="9.19921875" style="24" bestFit="1" customWidth="1"/>
    <col min="5117" max="5117" width="10" style="24" bestFit="1" customWidth="1"/>
    <col min="5118" max="5118" width="8.796875" style="24"/>
    <col min="5119" max="5119" width="9.19921875" style="24" bestFit="1" customWidth="1"/>
    <col min="5120" max="5120" width="9.19921875" style="24" customWidth="1"/>
    <col min="5121" max="5121" width="11.296875" style="24" customWidth="1"/>
    <col min="5122" max="5124" width="8.796875" style="24"/>
    <col min="5125" max="5125" width="8.796875" style="24" bestFit="1" customWidth="1"/>
    <col min="5126" max="5369" width="8.796875" style="24"/>
    <col min="5370" max="5370" width="9.19921875" style="24" bestFit="1" customWidth="1"/>
    <col min="5371" max="5371" width="9.19921875" style="24" customWidth="1"/>
    <col min="5372" max="5372" width="9.19921875" style="24" bestFit="1" customWidth="1"/>
    <col min="5373" max="5373" width="10" style="24" bestFit="1" customWidth="1"/>
    <col min="5374" max="5374" width="8.796875" style="24"/>
    <col min="5375" max="5375" width="9.19921875" style="24" bestFit="1" customWidth="1"/>
    <col min="5376" max="5376" width="9.19921875" style="24" customWidth="1"/>
    <col min="5377" max="5377" width="11.296875" style="24" customWidth="1"/>
    <col min="5378" max="5380" width="8.796875" style="24"/>
    <col min="5381" max="5381" width="8.796875" style="24" bestFit="1" customWidth="1"/>
    <col min="5382" max="5625" width="8.796875" style="24"/>
    <col min="5626" max="5626" width="9.19921875" style="24" bestFit="1" customWidth="1"/>
    <col min="5627" max="5627" width="9.19921875" style="24" customWidth="1"/>
    <col min="5628" max="5628" width="9.19921875" style="24" bestFit="1" customWidth="1"/>
    <col min="5629" max="5629" width="10" style="24" bestFit="1" customWidth="1"/>
    <col min="5630" max="5630" width="8.796875" style="24"/>
    <col min="5631" max="5631" width="9.19921875" style="24" bestFit="1" customWidth="1"/>
    <col min="5632" max="5632" width="9.19921875" style="24" customWidth="1"/>
    <col min="5633" max="5633" width="11.296875" style="24" customWidth="1"/>
    <col min="5634" max="5636" width="8.796875" style="24"/>
    <col min="5637" max="5637" width="8.796875" style="24" bestFit="1" customWidth="1"/>
    <col min="5638" max="5881" width="8.796875" style="24"/>
    <col min="5882" max="5882" width="9.19921875" style="24" bestFit="1" customWidth="1"/>
    <col min="5883" max="5883" width="9.19921875" style="24" customWidth="1"/>
    <col min="5884" max="5884" width="9.19921875" style="24" bestFit="1" customWidth="1"/>
    <col min="5885" max="5885" width="10" style="24" bestFit="1" customWidth="1"/>
    <col min="5886" max="5886" width="8.796875" style="24"/>
    <col min="5887" max="5887" width="9.19921875" style="24" bestFit="1" customWidth="1"/>
    <col min="5888" max="5888" width="9.19921875" style="24" customWidth="1"/>
    <col min="5889" max="5889" width="11.296875" style="24" customWidth="1"/>
    <col min="5890" max="5892" width="8.796875" style="24"/>
    <col min="5893" max="5893" width="8.796875" style="24" bestFit="1" customWidth="1"/>
    <col min="5894" max="6137" width="8.796875" style="24"/>
    <col min="6138" max="6138" width="9.19921875" style="24" bestFit="1" customWidth="1"/>
    <col min="6139" max="6139" width="9.19921875" style="24" customWidth="1"/>
    <col min="6140" max="6140" width="9.19921875" style="24" bestFit="1" customWidth="1"/>
    <col min="6141" max="6141" width="10" style="24" bestFit="1" customWidth="1"/>
    <col min="6142" max="6142" width="8.796875" style="24"/>
    <col min="6143" max="6143" width="9.19921875" style="24" bestFit="1" customWidth="1"/>
    <col min="6144" max="6144" width="9.19921875" style="24" customWidth="1"/>
    <col min="6145" max="6145" width="11.296875" style="24" customWidth="1"/>
    <col min="6146" max="6148" width="8.796875" style="24"/>
    <col min="6149" max="6149" width="8.796875" style="24" bestFit="1" customWidth="1"/>
    <col min="6150" max="6393" width="8.796875" style="24"/>
    <col min="6394" max="6394" width="9.19921875" style="24" bestFit="1" customWidth="1"/>
    <col min="6395" max="6395" width="9.19921875" style="24" customWidth="1"/>
    <col min="6396" max="6396" width="9.19921875" style="24" bestFit="1" customWidth="1"/>
    <col min="6397" max="6397" width="10" style="24" bestFit="1" customWidth="1"/>
    <col min="6398" max="6398" width="8.796875" style="24"/>
    <col min="6399" max="6399" width="9.19921875" style="24" bestFit="1" customWidth="1"/>
    <col min="6400" max="6400" width="9.19921875" style="24" customWidth="1"/>
    <col min="6401" max="6401" width="11.296875" style="24" customWidth="1"/>
    <col min="6402" max="6404" width="8.796875" style="24"/>
    <col min="6405" max="6405" width="8.796875" style="24" bestFit="1" customWidth="1"/>
    <col min="6406" max="6649" width="8.796875" style="24"/>
    <col min="6650" max="6650" width="9.19921875" style="24" bestFit="1" customWidth="1"/>
    <col min="6651" max="6651" width="9.19921875" style="24" customWidth="1"/>
    <col min="6652" max="6652" width="9.19921875" style="24" bestFit="1" customWidth="1"/>
    <col min="6653" max="6653" width="10" style="24" bestFit="1" customWidth="1"/>
    <col min="6654" max="6654" width="8.796875" style="24"/>
    <col min="6655" max="6655" width="9.19921875" style="24" bestFit="1" customWidth="1"/>
    <col min="6656" max="6656" width="9.19921875" style="24" customWidth="1"/>
    <col min="6657" max="6657" width="11.296875" style="24" customWidth="1"/>
    <col min="6658" max="6660" width="8.796875" style="24"/>
    <col min="6661" max="6661" width="8.796875" style="24" bestFit="1" customWidth="1"/>
    <col min="6662" max="6905" width="8.796875" style="24"/>
    <col min="6906" max="6906" width="9.19921875" style="24" bestFit="1" customWidth="1"/>
    <col min="6907" max="6907" width="9.19921875" style="24" customWidth="1"/>
    <col min="6908" max="6908" width="9.19921875" style="24" bestFit="1" customWidth="1"/>
    <col min="6909" max="6909" width="10" style="24" bestFit="1" customWidth="1"/>
    <col min="6910" max="6910" width="8.796875" style="24"/>
    <col min="6911" max="6911" width="9.19921875" style="24" bestFit="1" customWidth="1"/>
    <col min="6912" max="6912" width="9.19921875" style="24" customWidth="1"/>
    <col min="6913" max="6913" width="11.296875" style="24" customWidth="1"/>
    <col min="6914" max="6916" width="8.796875" style="24"/>
    <col min="6917" max="6917" width="8.796875" style="24" bestFit="1" customWidth="1"/>
    <col min="6918" max="7161" width="8.796875" style="24"/>
    <col min="7162" max="7162" width="9.19921875" style="24" bestFit="1" customWidth="1"/>
    <col min="7163" max="7163" width="9.19921875" style="24" customWidth="1"/>
    <col min="7164" max="7164" width="9.19921875" style="24" bestFit="1" customWidth="1"/>
    <col min="7165" max="7165" width="10" style="24" bestFit="1" customWidth="1"/>
    <col min="7166" max="7166" width="8.796875" style="24"/>
    <col min="7167" max="7167" width="9.19921875" style="24" bestFit="1" customWidth="1"/>
    <col min="7168" max="7168" width="9.19921875" style="24" customWidth="1"/>
    <col min="7169" max="7169" width="11.296875" style="24" customWidth="1"/>
    <col min="7170" max="7172" width="8.796875" style="24"/>
    <col min="7173" max="7173" width="8.796875" style="24" bestFit="1" customWidth="1"/>
    <col min="7174" max="7417" width="8.796875" style="24"/>
    <col min="7418" max="7418" width="9.19921875" style="24" bestFit="1" customWidth="1"/>
    <col min="7419" max="7419" width="9.19921875" style="24" customWidth="1"/>
    <col min="7420" max="7420" width="9.19921875" style="24" bestFit="1" customWidth="1"/>
    <col min="7421" max="7421" width="10" style="24" bestFit="1" customWidth="1"/>
    <col min="7422" max="7422" width="8.796875" style="24"/>
    <col min="7423" max="7423" width="9.19921875" style="24" bestFit="1" customWidth="1"/>
    <col min="7424" max="7424" width="9.19921875" style="24" customWidth="1"/>
    <col min="7425" max="7425" width="11.296875" style="24" customWidth="1"/>
    <col min="7426" max="7428" width="8.796875" style="24"/>
    <col min="7429" max="7429" width="8.796875" style="24" bestFit="1" customWidth="1"/>
    <col min="7430" max="7673" width="8.796875" style="24"/>
    <col min="7674" max="7674" width="9.19921875" style="24" bestFit="1" customWidth="1"/>
    <col min="7675" max="7675" width="9.19921875" style="24" customWidth="1"/>
    <col min="7676" max="7676" width="9.19921875" style="24" bestFit="1" customWidth="1"/>
    <col min="7677" max="7677" width="10" style="24" bestFit="1" customWidth="1"/>
    <col min="7678" max="7678" width="8.796875" style="24"/>
    <col min="7679" max="7679" width="9.19921875" style="24" bestFit="1" customWidth="1"/>
    <col min="7680" max="7680" width="9.19921875" style="24" customWidth="1"/>
    <col min="7681" max="7681" width="11.296875" style="24" customWidth="1"/>
    <col min="7682" max="7684" width="8.796875" style="24"/>
    <col min="7685" max="7685" width="8.796875" style="24" bestFit="1" customWidth="1"/>
    <col min="7686" max="7929" width="8.796875" style="24"/>
    <col min="7930" max="7930" width="9.19921875" style="24" bestFit="1" customWidth="1"/>
    <col min="7931" max="7931" width="9.19921875" style="24" customWidth="1"/>
    <col min="7932" max="7932" width="9.19921875" style="24" bestFit="1" customWidth="1"/>
    <col min="7933" max="7933" width="10" style="24" bestFit="1" customWidth="1"/>
    <col min="7934" max="7934" width="8.796875" style="24"/>
    <col min="7935" max="7935" width="9.19921875" style="24" bestFit="1" customWidth="1"/>
    <col min="7936" max="7936" width="9.19921875" style="24" customWidth="1"/>
    <col min="7937" max="7937" width="11.296875" style="24" customWidth="1"/>
    <col min="7938" max="7940" width="8.796875" style="24"/>
    <col min="7941" max="7941" width="8.796875" style="24" bestFit="1" customWidth="1"/>
    <col min="7942" max="8185" width="8.796875" style="24"/>
    <col min="8186" max="8186" width="9.19921875" style="24" bestFit="1" customWidth="1"/>
    <col min="8187" max="8187" width="9.19921875" style="24" customWidth="1"/>
    <col min="8188" max="8188" width="9.19921875" style="24" bestFit="1" customWidth="1"/>
    <col min="8189" max="8189" width="10" style="24" bestFit="1" customWidth="1"/>
    <col min="8190" max="8190" width="8.796875" style="24"/>
    <col min="8191" max="8191" width="9.19921875" style="24" bestFit="1" customWidth="1"/>
    <col min="8192" max="8192" width="9.19921875" style="24" customWidth="1"/>
    <col min="8193" max="8193" width="11.296875" style="24" customWidth="1"/>
    <col min="8194" max="8196" width="8.796875" style="24"/>
    <col min="8197" max="8197" width="8.796875" style="24" bestFit="1" customWidth="1"/>
    <col min="8198" max="8441" width="8.796875" style="24"/>
    <col min="8442" max="8442" width="9.19921875" style="24" bestFit="1" customWidth="1"/>
    <col min="8443" max="8443" width="9.19921875" style="24" customWidth="1"/>
    <col min="8444" max="8444" width="9.19921875" style="24" bestFit="1" customWidth="1"/>
    <col min="8445" max="8445" width="10" style="24" bestFit="1" customWidth="1"/>
    <col min="8446" max="8446" width="8.796875" style="24"/>
    <col min="8447" max="8447" width="9.19921875" style="24" bestFit="1" customWidth="1"/>
    <col min="8448" max="8448" width="9.19921875" style="24" customWidth="1"/>
    <col min="8449" max="8449" width="11.296875" style="24" customWidth="1"/>
    <col min="8450" max="8452" width="8.796875" style="24"/>
    <col min="8453" max="8453" width="8.796875" style="24" bestFit="1" customWidth="1"/>
    <col min="8454" max="8697" width="8.796875" style="24"/>
    <col min="8698" max="8698" width="9.19921875" style="24" bestFit="1" customWidth="1"/>
    <col min="8699" max="8699" width="9.19921875" style="24" customWidth="1"/>
    <col min="8700" max="8700" width="9.19921875" style="24" bestFit="1" customWidth="1"/>
    <col min="8701" max="8701" width="10" style="24" bestFit="1" customWidth="1"/>
    <col min="8702" max="8702" width="8.796875" style="24"/>
    <col min="8703" max="8703" width="9.19921875" style="24" bestFit="1" customWidth="1"/>
    <col min="8704" max="8704" width="9.19921875" style="24" customWidth="1"/>
    <col min="8705" max="8705" width="11.296875" style="24" customWidth="1"/>
    <col min="8706" max="8708" width="8.796875" style="24"/>
    <col min="8709" max="8709" width="8.796875" style="24" bestFit="1" customWidth="1"/>
    <col min="8710" max="8953" width="8.796875" style="24"/>
    <col min="8954" max="8954" width="9.19921875" style="24" bestFit="1" customWidth="1"/>
    <col min="8955" max="8955" width="9.19921875" style="24" customWidth="1"/>
    <col min="8956" max="8956" width="9.19921875" style="24" bestFit="1" customWidth="1"/>
    <col min="8957" max="8957" width="10" style="24" bestFit="1" customWidth="1"/>
    <col min="8958" max="8958" width="8.796875" style="24"/>
    <col min="8959" max="8959" width="9.19921875" style="24" bestFit="1" customWidth="1"/>
    <col min="8960" max="8960" width="9.19921875" style="24" customWidth="1"/>
    <col min="8961" max="8961" width="11.296875" style="24" customWidth="1"/>
    <col min="8962" max="8964" width="8.796875" style="24"/>
    <col min="8965" max="8965" width="8.796875" style="24" bestFit="1" customWidth="1"/>
    <col min="8966" max="9209" width="8.796875" style="24"/>
    <col min="9210" max="9210" width="9.19921875" style="24" bestFit="1" customWidth="1"/>
    <col min="9211" max="9211" width="9.19921875" style="24" customWidth="1"/>
    <col min="9212" max="9212" width="9.19921875" style="24" bestFit="1" customWidth="1"/>
    <col min="9213" max="9213" width="10" style="24" bestFit="1" customWidth="1"/>
    <col min="9214" max="9214" width="8.796875" style="24"/>
    <col min="9215" max="9215" width="9.19921875" style="24" bestFit="1" customWidth="1"/>
    <col min="9216" max="9216" width="9.19921875" style="24" customWidth="1"/>
    <col min="9217" max="9217" width="11.296875" style="24" customWidth="1"/>
    <col min="9218" max="9220" width="8.796875" style="24"/>
    <col min="9221" max="9221" width="8.796875" style="24" bestFit="1" customWidth="1"/>
    <col min="9222" max="9465" width="8.796875" style="24"/>
    <col min="9466" max="9466" width="9.19921875" style="24" bestFit="1" customWidth="1"/>
    <col min="9467" max="9467" width="9.19921875" style="24" customWidth="1"/>
    <col min="9468" max="9468" width="9.19921875" style="24" bestFit="1" customWidth="1"/>
    <col min="9469" max="9469" width="10" style="24" bestFit="1" customWidth="1"/>
    <col min="9470" max="9470" width="8.796875" style="24"/>
    <col min="9471" max="9471" width="9.19921875" style="24" bestFit="1" customWidth="1"/>
    <col min="9472" max="9472" width="9.19921875" style="24" customWidth="1"/>
    <col min="9473" max="9473" width="11.296875" style="24" customWidth="1"/>
    <col min="9474" max="9476" width="8.796875" style="24"/>
    <col min="9477" max="9477" width="8.796875" style="24" bestFit="1" customWidth="1"/>
    <col min="9478" max="9721" width="8.796875" style="24"/>
    <col min="9722" max="9722" width="9.19921875" style="24" bestFit="1" customWidth="1"/>
    <col min="9723" max="9723" width="9.19921875" style="24" customWidth="1"/>
    <col min="9724" max="9724" width="9.19921875" style="24" bestFit="1" customWidth="1"/>
    <col min="9725" max="9725" width="10" style="24" bestFit="1" customWidth="1"/>
    <col min="9726" max="9726" width="8.796875" style="24"/>
    <col min="9727" max="9727" width="9.19921875" style="24" bestFit="1" customWidth="1"/>
    <col min="9728" max="9728" width="9.19921875" style="24" customWidth="1"/>
    <col min="9729" max="9729" width="11.296875" style="24" customWidth="1"/>
    <col min="9730" max="9732" width="8.796875" style="24"/>
    <col min="9733" max="9733" width="8.796875" style="24" bestFit="1" customWidth="1"/>
    <col min="9734" max="9977" width="8.796875" style="24"/>
    <col min="9978" max="9978" width="9.19921875" style="24" bestFit="1" customWidth="1"/>
    <col min="9979" max="9979" width="9.19921875" style="24" customWidth="1"/>
    <col min="9980" max="9980" width="9.19921875" style="24" bestFit="1" customWidth="1"/>
    <col min="9981" max="9981" width="10" style="24" bestFit="1" customWidth="1"/>
    <col min="9982" max="9982" width="8.796875" style="24"/>
    <col min="9983" max="9983" width="9.19921875" style="24" bestFit="1" customWidth="1"/>
    <col min="9984" max="9984" width="9.19921875" style="24" customWidth="1"/>
    <col min="9985" max="9985" width="11.296875" style="24" customWidth="1"/>
    <col min="9986" max="9988" width="8.796875" style="24"/>
    <col min="9989" max="9989" width="8.796875" style="24" bestFit="1" customWidth="1"/>
    <col min="9990" max="10233" width="8.796875" style="24"/>
    <col min="10234" max="10234" width="9.19921875" style="24" bestFit="1" customWidth="1"/>
    <col min="10235" max="10235" width="9.19921875" style="24" customWidth="1"/>
    <col min="10236" max="10236" width="9.19921875" style="24" bestFit="1" customWidth="1"/>
    <col min="10237" max="10237" width="10" style="24" bestFit="1" customWidth="1"/>
    <col min="10238" max="10238" width="8.796875" style="24"/>
    <col min="10239" max="10239" width="9.19921875" style="24" bestFit="1" customWidth="1"/>
    <col min="10240" max="10240" width="9.19921875" style="24" customWidth="1"/>
    <col min="10241" max="10241" width="11.296875" style="24" customWidth="1"/>
    <col min="10242" max="10244" width="8.796875" style="24"/>
    <col min="10245" max="10245" width="8.796875" style="24" bestFit="1" customWidth="1"/>
    <col min="10246" max="10489" width="8.796875" style="24"/>
    <col min="10490" max="10490" width="9.19921875" style="24" bestFit="1" customWidth="1"/>
    <col min="10491" max="10491" width="9.19921875" style="24" customWidth="1"/>
    <col min="10492" max="10492" width="9.19921875" style="24" bestFit="1" customWidth="1"/>
    <col min="10493" max="10493" width="10" style="24" bestFit="1" customWidth="1"/>
    <col min="10494" max="10494" width="8.796875" style="24"/>
    <col min="10495" max="10495" width="9.19921875" style="24" bestFit="1" customWidth="1"/>
    <col min="10496" max="10496" width="9.19921875" style="24" customWidth="1"/>
    <col min="10497" max="10497" width="11.296875" style="24" customWidth="1"/>
    <col min="10498" max="10500" width="8.796875" style="24"/>
    <col min="10501" max="10501" width="8.796875" style="24" bestFit="1" customWidth="1"/>
    <col min="10502" max="10745" width="8.796875" style="24"/>
    <col min="10746" max="10746" width="9.19921875" style="24" bestFit="1" customWidth="1"/>
    <col min="10747" max="10747" width="9.19921875" style="24" customWidth="1"/>
    <col min="10748" max="10748" width="9.19921875" style="24" bestFit="1" customWidth="1"/>
    <col min="10749" max="10749" width="10" style="24" bestFit="1" customWidth="1"/>
    <col min="10750" max="10750" width="8.796875" style="24"/>
    <col min="10751" max="10751" width="9.19921875" style="24" bestFit="1" customWidth="1"/>
    <col min="10752" max="10752" width="9.19921875" style="24" customWidth="1"/>
    <col min="10753" max="10753" width="11.296875" style="24" customWidth="1"/>
    <col min="10754" max="10756" width="8.796875" style="24"/>
    <col min="10757" max="10757" width="8.796875" style="24" bestFit="1" customWidth="1"/>
    <col min="10758" max="11001" width="8.796875" style="24"/>
    <col min="11002" max="11002" width="9.19921875" style="24" bestFit="1" customWidth="1"/>
    <col min="11003" max="11003" width="9.19921875" style="24" customWidth="1"/>
    <col min="11004" max="11004" width="9.19921875" style="24" bestFit="1" customWidth="1"/>
    <col min="11005" max="11005" width="10" style="24" bestFit="1" customWidth="1"/>
    <col min="11006" max="11006" width="8.796875" style="24"/>
    <col min="11007" max="11007" width="9.19921875" style="24" bestFit="1" customWidth="1"/>
    <col min="11008" max="11008" width="9.19921875" style="24" customWidth="1"/>
    <col min="11009" max="11009" width="11.296875" style="24" customWidth="1"/>
    <col min="11010" max="11012" width="8.796875" style="24"/>
    <col min="11013" max="11013" width="8.796875" style="24" bestFit="1" customWidth="1"/>
    <col min="11014" max="11257" width="8.796875" style="24"/>
    <col min="11258" max="11258" width="9.19921875" style="24" bestFit="1" customWidth="1"/>
    <col min="11259" max="11259" width="9.19921875" style="24" customWidth="1"/>
    <col min="11260" max="11260" width="9.19921875" style="24" bestFit="1" customWidth="1"/>
    <col min="11261" max="11261" width="10" style="24" bestFit="1" customWidth="1"/>
    <col min="11262" max="11262" width="8.796875" style="24"/>
    <col min="11263" max="11263" width="9.19921875" style="24" bestFit="1" customWidth="1"/>
    <col min="11264" max="11264" width="9.19921875" style="24" customWidth="1"/>
    <col min="11265" max="11265" width="11.296875" style="24" customWidth="1"/>
    <col min="11266" max="11268" width="8.796875" style="24"/>
    <col min="11269" max="11269" width="8.796875" style="24" bestFit="1" customWidth="1"/>
    <col min="11270" max="11513" width="8.796875" style="24"/>
    <col min="11514" max="11514" width="9.19921875" style="24" bestFit="1" customWidth="1"/>
    <col min="11515" max="11515" width="9.19921875" style="24" customWidth="1"/>
    <col min="11516" max="11516" width="9.19921875" style="24" bestFit="1" customWidth="1"/>
    <col min="11517" max="11517" width="10" style="24" bestFit="1" customWidth="1"/>
    <col min="11518" max="11518" width="8.796875" style="24"/>
    <col min="11519" max="11519" width="9.19921875" style="24" bestFit="1" customWidth="1"/>
    <col min="11520" max="11520" width="9.19921875" style="24" customWidth="1"/>
    <col min="11521" max="11521" width="11.296875" style="24" customWidth="1"/>
    <col min="11522" max="11524" width="8.796875" style="24"/>
    <col min="11525" max="11525" width="8.796875" style="24" bestFit="1" customWidth="1"/>
    <col min="11526" max="11769" width="8.796875" style="24"/>
    <col min="11770" max="11770" width="9.19921875" style="24" bestFit="1" customWidth="1"/>
    <col min="11771" max="11771" width="9.19921875" style="24" customWidth="1"/>
    <col min="11772" max="11772" width="9.19921875" style="24" bestFit="1" customWidth="1"/>
    <col min="11773" max="11773" width="10" style="24" bestFit="1" customWidth="1"/>
    <col min="11774" max="11774" width="8.796875" style="24"/>
    <col min="11775" max="11775" width="9.19921875" style="24" bestFit="1" customWidth="1"/>
    <col min="11776" max="11776" width="9.19921875" style="24" customWidth="1"/>
    <col min="11777" max="11777" width="11.296875" style="24" customWidth="1"/>
    <col min="11778" max="11780" width="8.796875" style="24"/>
    <col min="11781" max="11781" width="8.796875" style="24" bestFit="1" customWidth="1"/>
    <col min="11782" max="12025" width="8.796875" style="24"/>
    <col min="12026" max="12026" width="9.19921875" style="24" bestFit="1" customWidth="1"/>
    <col min="12027" max="12027" width="9.19921875" style="24" customWidth="1"/>
    <col min="12028" max="12028" width="9.19921875" style="24" bestFit="1" customWidth="1"/>
    <col min="12029" max="12029" width="10" style="24" bestFit="1" customWidth="1"/>
    <col min="12030" max="12030" width="8.796875" style="24"/>
    <col min="12031" max="12031" width="9.19921875" style="24" bestFit="1" customWidth="1"/>
    <col min="12032" max="12032" width="9.19921875" style="24" customWidth="1"/>
    <col min="12033" max="12033" width="11.296875" style="24" customWidth="1"/>
    <col min="12034" max="12036" width="8.796875" style="24"/>
    <col min="12037" max="12037" width="8.796875" style="24" bestFit="1" customWidth="1"/>
    <col min="12038" max="12281" width="8.796875" style="24"/>
    <col min="12282" max="12282" width="9.19921875" style="24" bestFit="1" customWidth="1"/>
    <col min="12283" max="12283" width="9.19921875" style="24" customWidth="1"/>
    <col min="12284" max="12284" width="9.19921875" style="24" bestFit="1" customWidth="1"/>
    <col min="12285" max="12285" width="10" style="24" bestFit="1" customWidth="1"/>
    <col min="12286" max="12286" width="8.796875" style="24"/>
    <col min="12287" max="12287" width="9.19921875" style="24" bestFit="1" customWidth="1"/>
    <col min="12288" max="12288" width="9.19921875" style="24" customWidth="1"/>
    <col min="12289" max="12289" width="11.296875" style="24" customWidth="1"/>
    <col min="12290" max="12292" width="8.796875" style="24"/>
    <col min="12293" max="12293" width="8.796875" style="24" bestFit="1" customWidth="1"/>
    <col min="12294" max="12537" width="8.796875" style="24"/>
    <col min="12538" max="12538" width="9.19921875" style="24" bestFit="1" customWidth="1"/>
    <col min="12539" max="12539" width="9.19921875" style="24" customWidth="1"/>
    <col min="12540" max="12540" width="9.19921875" style="24" bestFit="1" customWidth="1"/>
    <col min="12541" max="12541" width="10" style="24" bestFit="1" customWidth="1"/>
    <col min="12542" max="12542" width="8.796875" style="24"/>
    <col min="12543" max="12543" width="9.19921875" style="24" bestFit="1" customWidth="1"/>
    <col min="12544" max="12544" width="9.19921875" style="24" customWidth="1"/>
    <col min="12545" max="12545" width="11.296875" style="24" customWidth="1"/>
    <col min="12546" max="12548" width="8.796875" style="24"/>
    <col min="12549" max="12549" width="8.796875" style="24" bestFit="1" customWidth="1"/>
    <col min="12550" max="12793" width="8.796875" style="24"/>
    <col min="12794" max="12794" width="9.19921875" style="24" bestFit="1" customWidth="1"/>
    <col min="12795" max="12795" width="9.19921875" style="24" customWidth="1"/>
    <col min="12796" max="12796" width="9.19921875" style="24" bestFit="1" customWidth="1"/>
    <col min="12797" max="12797" width="10" style="24" bestFit="1" customWidth="1"/>
    <col min="12798" max="12798" width="8.796875" style="24"/>
    <col min="12799" max="12799" width="9.19921875" style="24" bestFit="1" customWidth="1"/>
    <col min="12800" max="12800" width="9.19921875" style="24" customWidth="1"/>
    <col min="12801" max="12801" width="11.296875" style="24" customWidth="1"/>
    <col min="12802" max="12804" width="8.796875" style="24"/>
    <col min="12805" max="12805" width="8.796875" style="24" bestFit="1" customWidth="1"/>
    <col min="12806" max="13049" width="8.796875" style="24"/>
    <col min="13050" max="13050" width="9.19921875" style="24" bestFit="1" customWidth="1"/>
    <col min="13051" max="13051" width="9.19921875" style="24" customWidth="1"/>
    <col min="13052" max="13052" width="9.19921875" style="24" bestFit="1" customWidth="1"/>
    <col min="13053" max="13053" width="10" style="24" bestFit="1" customWidth="1"/>
    <col min="13054" max="13054" width="8.796875" style="24"/>
    <col min="13055" max="13055" width="9.19921875" style="24" bestFit="1" customWidth="1"/>
    <col min="13056" max="13056" width="9.19921875" style="24" customWidth="1"/>
    <col min="13057" max="13057" width="11.296875" style="24" customWidth="1"/>
    <col min="13058" max="13060" width="8.796875" style="24"/>
    <col min="13061" max="13061" width="8.796875" style="24" bestFit="1" customWidth="1"/>
    <col min="13062" max="13305" width="8.796875" style="24"/>
    <col min="13306" max="13306" width="9.19921875" style="24" bestFit="1" customWidth="1"/>
    <col min="13307" max="13307" width="9.19921875" style="24" customWidth="1"/>
    <col min="13308" max="13308" width="9.19921875" style="24" bestFit="1" customWidth="1"/>
    <col min="13309" max="13309" width="10" style="24" bestFit="1" customWidth="1"/>
    <col min="13310" max="13310" width="8.796875" style="24"/>
    <col min="13311" max="13311" width="9.19921875" style="24" bestFit="1" customWidth="1"/>
    <col min="13312" max="13312" width="9.19921875" style="24" customWidth="1"/>
    <col min="13313" max="13313" width="11.296875" style="24" customWidth="1"/>
    <col min="13314" max="13316" width="8.796875" style="24"/>
    <col min="13317" max="13317" width="8.796875" style="24" bestFit="1" customWidth="1"/>
    <col min="13318" max="13561" width="8.796875" style="24"/>
    <col min="13562" max="13562" width="9.19921875" style="24" bestFit="1" customWidth="1"/>
    <col min="13563" max="13563" width="9.19921875" style="24" customWidth="1"/>
    <col min="13564" max="13564" width="9.19921875" style="24" bestFit="1" customWidth="1"/>
    <col min="13565" max="13565" width="10" style="24" bestFit="1" customWidth="1"/>
    <col min="13566" max="13566" width="8.796875" style="24"/>
    <col min="13567" max="13567" width="9.19921875" style="24" bestFit="1" customWidth="1"/>
    <col min="13568" max="13568" width="9.19921875" style="24" customWidth="1"/>
    <col min="13569" max="13569" width="11.296875" style="24" customWidth="1"/>
    <col min="13570" max="13572" width="8.796875" style="24"/>
    <col min="13573" max="13573" width="8.796875" style="24" bestFit="1" customWidth="1"/>
    <col min="13574" max="13817" width="8.796875" style="24"/>
    <col min="13818" max="13818" width="9.19921875" style="24" bestFit="1" customWidth="1"/>
    <col min="13819" max="13819" width="9.19921875" style="24" customWidth="1"/>
    <col min="13820" max="13820" width="9.19921875" style="24" bestFit="1" customWidth="1"/>
    <col min="13821" max="13821" width="10" style="24" bestFit="1" customWidth="1"/>
    <col min="13822" max="13822" width="8.796875" style="24"/>
    <col min="13823" max="13823" width="9.19921875" style="24" bestFit="1" customWidth="1"/>
    <col min="13824" max="13824" width="9.19921875" style="24" customWidth="1"/>
    <col min="13825" max="13825" width="11.296875" style="24" customWidth="1"/>
    <col min="13826" max="13828" width="8.796875" style="24"/>
    <col min="13829" max="13829" width="8.796875" style="24" bestFit="1" customWidth="1"/>
    <col min="13830" max="14073" width="8.796875" style="24"/>
    <col min="14074" max="14074" width="9.19921875" style="24" bestFit="1" customWidth="1"/>
    <col min="14075" max="14075" width="9.19921875" style="24" customWidth="1"/>
    <col min="14076" max="14076" width="9.19921875" style="24" bestFit="1" customWidth="1"/>
    <col min="14077" max="14077" width="10" style="24" bestFit="1" customWidth="1"/>
    <col min="14078" max="14078" width="8.796875" style="24"/>
    <col min="14079" max="14079" width="9.19921875" style="24" bestFit="1" customWidth="1"/>
    <col min="14080" max="14080" width="9.19921875" style="24" customWidth="1"/>
    <col min="14081" max="14081" width="11.296875" style="24" customWidth="1"/>
    <col min="14082" max="14084" width="8.796875" style="24"/>
    <col min="14085" max="14085" width="8.796875" style="24" bestFit="1" customWidth="1"/>
    <col min="14086" max="14329" width="8.796875" style="24"/>
    <col min="14330" max="14330" width="9.19921875" style="24" bestFit="1" customWidth="1"/>
    <col min="14331" max="14331" width="9.19921875" style="24" customWidth="1"/>
    <col min="14332" max="14332" width="9.19921875" style="24" bestFit="1" customWidth="1"/>
    <col min="14333" max="14333" width="10" style="24" bestFit="1" customWidth="1"/>
    <col min="14334" max="14334" width="8.796875" style="24"/>
    <col min="14335" max="14335" width="9.19921875" style="24" bestFit="1" customWidth="1"/>
    <col min="14336" max="14336" width="9.19921875" style="24" customWidth="1"/>
    <col min="14337" max="14337" width="11.296875" style="24" customWidth="1"/>
    <col min="14338" max="14340" width="8.796875" style="24"/>
    <col min="14341" max="14341" width="8.796875" style="24" bestFit="1" customWidth="1"/>
    <col min="14342" max="14585" width="8.796875" style="24"/>
    <col min="14586" max="14586" width="9.19921875" style="24" bestFit="1" customWidth="1"/>
    <col min="14587" max="14587" width="9.19921875" style="24" customWidth="1"/>
    <col min="14588" max="14588" width="9.19921875" style="24" bestFit="1" customWidth="1"/>
    <col min="14589" max="14589" width="10" style="24" bestFit="1" customWidth="1"/>
    <col min="14590" max="14590" width="8.796875" style="24"/>
    <col min="14591" max="14591" width="9.19921875" style="24" bestFit="1" customWidth="1"/>
    <col min="14592" max="14592" width="9.19921875" style="24" customWidth="1"/>
    <col min="14593" max="14593" width="11.296875" style="24" customWidth="1"/>
    <col min="14594" max="14596" width="8.796875" style="24"/>
    <col min="14597" max="14597" width="8.796875" style="24" bestFit="1" customWidth="1"/>
    <col min="14598" max="14841" width="8.796875" style="24"/>
    <col min="14842" max="14842" width="9.19921875" style="24" bestFit="1" customWidth="1"/>
    <col min="14843" max="14843" width="9.19921875" style="24" customWidth="1"/>
    <col min="14844" max="14844" width="9.19921875" style="24" bestFit="1" customWidth="1"/>
    <col min="14845" max="14845" width="10" style="24" bestFit="1" customWidth="1"/>
    <col min="14846" max="14846" width="8.796875" style="24"/>
    <col min="14847" max="14847" width="9.19921875" style="24" bestFit="1" customWidth="1"/>
    <col min="14848" max="14848" width="9.19921875" style="24" customWidth="1"/>
    <col min="14849" max="14849" width="11.296875" style="24" customWidth="1"/>
    <col min="14850" max="14852" width="8.796875" style="24"/>
    <col min="14853" max="14853" width="8.796875" style="24" bestFit="1" customWidth="1"/>
    <col min="14854" max="15097" width="8.796875" style="24"/>
    <col min="15098" max="15098" width="9.19921875" style="24" bestFit="1" customWidth="1"/>
    <col min="15099" max="15099" width="9.19921875" style="24" customWidth="1"/>
    <col min="15100" max="15100" width="9.19921875" style="24" bestFit="1" customWidth="1"/>
    <col min="15101" max="15101" width="10" style="24" bestFit="1" customWidth="1"/>
    <col min="15102" max="15102" width="8.796875" style="24"/>
    <col min="15103" max="15103" width="9.19921875" style="24" bestFit="1" customWidth="1"/>
    <col min="15104" max="15104" width="9.19921875" style="24" customWidth="1"/>
    <col min="15105" max="15105" width="11.296875" style="24" customWidth="1"/>
    <col min="15106" max="15108" width="8.796875" style="24"/>
    <col min="15109" max="15109" width="8.796875" style="24" bestFit="1" customWidth="1"/>
    <col min="15110" max="15353" width="8.796875" style="24"/>
    <col min="15354" max="15354" width="9.19921875" style="24" bestFit="1" customWidth="1"/>
    <col min="15355" max="15355" width="9.19921875" style="24" customWidth="1"/>
    <col min="15356" max="15356" width="9.19921875" style="24" bestFit="1" customWidth="1"/>
    <col min="15357" max="15357" width="10" style="24" bestFit="1" customWidth="1"/>
    <col min="15358" max="15358" width="8.796875" style="24"/>
    <col min="15359" max="15359" width="9.19921875" style="24" bestFit="1" customWidth="1"/>
    <col min="15360" max="15360" width="9.19921875" style="24" customWidth="1"/>
    <col min="15361" max="15361" width="11.296875" style="24" customWidth="1"/>
    <col min="15362" max="15364" width="8.796875" style="24"/>
    <col min="15365" max="15365" width="8.796875" style="24" bestFit="1" customWidth="1"/>
    <col min="15366" max="15609" width="8.796875" style="24"/>
    <col min="15610" max="15610" width="9.19921875" style="24" bestFit="1" customWidth="1"/>
    <col min="15611" max="15611" width="9.19921875" style="24" customWidth="1"/>
    <col min="15612" max="15612" width="9.19921875" style="24" bestFit="1" customWidth="1"/>
    <col min="15613" max="15613" width="10" style="24" bestFit="1" customWidth="1"/>
    <col min="15614" max="15614" width="8.796875" style="24"/>
    <col min="15615" max="15615" width="9.19921875" style="24" bestFit="1" customWidth="1"/>
    <col min="15616" max="15616" width="9.19921875" style="24" customWidth="1"/>
    <col min="15617" max="15617" width="11.296875" style="24" customWidth="1"/>
    <col min="15618" max="15620" width="8.796875" style="24"/>
    <col min="15621" max="15621" width="8.796875" style="24" bestFit="1" customWidth="1"/>
    <col min="15622" max="15865" width="8.796875" style="24"/>
    <col min="15866" max="15866" width="9.19921875" style="24" bestFit="1" customWidth="1"/>
    <col min="15867" max="15867" width="9.19921875" style="24" customWidth="1"/>
    <col min="15868" max="15868" width="9.19921875" style="24" bestFit="1" customWidth="1"/>
    <col min="15869" max="15869" width="10" style="24" bestFit="1" customWidth="1"/>
    <col min="15870" max="15870" width="8.796875" style="24"/>
    <col min="15871" max="15871" width="9.19921875" style="24" bestFit="1" customWidth="1"/>
    <col min="15872" max="15872" width="9.19921875" style="24" customWidth="1"/>
    <col min="15873" max="15873" width="11.296875" style="24" customWidth="1"/>
    <col min="15874" max="15876" width="8.796875" style="24"/>
    <col min="15877" max="15877" width="8.796875" style="24" bestFit="1" customWidth="1"/>
    <col min="15878" max="16121" width="8.796875" style="24"/>
    <col min="16122" max="16122" width="9.19921875" style="24" bestFit="1" customWidth="1"/>
    <col min="16123" max="16123" width="9.19921875" style="24" customWidth="1"/>
    <col min="16124" max="16124" width="9.19921875" style="24" bestFit="1" customWidth="1"/>
    <col min="16125" max="16125" width="10" style="24" bestFit="1" customWidth="1"/>
    <col min="16126" max="16126" width="8.796875" style="24"/>
    <col min="16127" max="16127" width="9.19921875" style="24" bestFit="1" customWidth="1"/>
    <col min="16128" max="16128" width="9.19921875" style="24" customWidth="1"/>
    <col min="16129" max="16129" width="11.296875" style="24" customWidth="1"/>
    <col min="16130" max="16132" width="8.796875" style="24"/>
    <col min="16133" max="16133" width="8.796875" style="24" bestFit="1" customWidth="1"/>
    <col min="16134" max="16384" width="8.796875" style="24"/>
  </cols>
  <sheetData>
    <row r="1" spans="1:16" s="19" customFormat="1" ht="31.8" thickBot="1" x14ac:dyDescent="0.3">
      <c r="A1" s="17" t="s">
        <v>119</v>
      </c>
      <c r="B1" s="17" t="s">
        <v>120</v>
      </c>
      <c r="C1" s="202" t="s">
        <v>121</v>
      </c>
      <c r="D1" s="199" t="s">
        <v>122</v>
      </c>
      <c r="E1" s="200" t="s">
        <v>163</v>
      </c>
      <c r="F1" s="37" t="s">
        <v>123</v>
      </c>
      <c r="G1" s="38"/>
      <c r="H1" s="33"/>
      <c r="I1" s="32"/>
      <c r="J1" s="35"/>
      <c r="K1" s="18"/>
      <c r="N1" s="24" t="s">
        <v>161</v>
      </c>
    </row>
    <row r="2" spans="1:16" ht="15.6" x14ac:dyDescent="0.3">
      <c r="A2" s="20" t="s">
        <v>124</v>
      </c>
      <c r="B2" s="20" t="s">
        <v>125</v>
      </c>
      <c r="C2" s="21">
        <v>2042.79569892473</v>
      </c>
      <c r="D2" s="22">
        <f t="shared" ref="D2:D21" si="0">C2*$H$23</f>
        <v>7251.9247311827912</v>
      </c>
      <c r="E2" s="30">
        <v>966.53333333333262</v>
      </c>
      <c r="F2" s="23">
        <f t="shared" ref="F2:F21" si="1">(D2-E2)+IF(C2&gt;$C$24,$B$24,$B$25)</f>
        <v>7172.8913978494584</v>
      </c>
      <c r="G2" s="36"/>
      <c r="H2" s="23"/>
      <c r="I2" s="31"/>
      <c r="J2" s="34"/>
      <c r="M2" s="36"/>
      <c r="N2" s="36"/>
      <c r="O2" s="203"/>
      <c r="P2" s="34"/>
    </row>
    <row r="3" spans="1:16" ht="15.6" x14ac:dyDescent="0.3">
      <c r="A3" s="20" t="s">
        <v>127</v>
      </c>
      <c r="B3" s="20" t="s">
        <v>124</v>
      </c>
      <c r="C3" s="21">
        <v>2814.40860215054</v>
      </c>
      <c r="D3" s="22">
        <f t="shared" si="0"/>
        <v>9991.1505376344157</v>
      </c>
      <c r="E3" s="30">
        <v>1444.9333333333348</v>
      </c>
      <c r="F3" s="23">
        <f t="shared" si="1"/>
        <v>9433.7172043010814</v>
      </c>
      <c r="G3" s="36"/>
      <c r="H3" s="23"/>
      <c r="I3" s="31"/>
      <c r="J3" s="34"/>
      <c r="M3" s="36"/>
      <c r="N3" s="36"/>
      <c r="O3" s="203"/>
      <c r="P3" s="34"/>
    </row>
    <row r="4" spans="1:16" ht="15.6" x14ac:dyDescent="0.3">
      <c r="A4" s="20" t="s">
        <v>128</v>
      </c>
      <c r="B4" s="20" t="s">
        <v>129</v>
      </c>
      <c r="C4" s="21">
        <v>1865.16129032258</v>
      </c>
      <c r="D4" s="22">
        <f t="shared" si="0"/>
        <v>6621.3225806451592</v>
      </c>
      <c r="E4" s="30">
        <v>856.39999999999964</v>
      </c>
      <c r="F4" s="23">
        <f t="shared" si="1"/>
        <v>6208.6725806451595</v>
      </c>
      <c r="G4" s="36"/>
      <c r="H4" s="23"/>
      <c r="I4" s="31"/>
      <c r="J4" s="34"/>
      <c r="K4" s="25"/>
      <c r="M4" s="36"/>
      <c r="N4" s="36"/>
      <c r="O4" s="203"/>
      <c r="P4" s="34"/>
    </row>
    <row r="5" spans="1:16" ht="15.6" x14ac:dyDescent="0.3">
      <c r="A5" s="20" t="s">
        <v>130</v>
      </c>
      <c r="B5" s="20" t="s">
        <v>131</v>
      </c>
      <c r="C5" s="21">
        <v>1691.39784946236</v>
      </c>
      <c r="D5" s="22">
        <f t="shared" si="0"/>
        <v>6004.4623655913774</v>
      </c>
      <c r="E5" s="30">
        <v>748.6666666666631</v>
      </c>
      <c r="F5" s="23">
        <f t="shared" si="1"/>
        <v>5699.5456989247141</v>
      </c>
      <c r="G5" s="36"/>
      <c r="H5" s="23"/>
      <c r="I5" s="31"/>
      <c r="J5" s="34"/>
      <c r="K5" s="25"/>
      <c r="M5" s="36"/>
      <c r="N5" s="36"/>
      <c r="O5" s="203"/>
      <c r="P5" s="34"/>
    </row>
    <row r="6" spans="1:16" ht="15.6" x14ac:dyDescent="0.3">
      <c r="A6" s="20" t="s">
        <v>132</v>
      </c>
      <c r="B6" s="20" t="s">
        <v>133</v>
      </c>
      <c r="C6" s="21">
        <v>1775.8064516129</v>
      </c>
      <c r="D6" s="22">
        <f t="shared" si="0"/>
        <v>6304.112903225795</v>
      </c>
      <c r="E6" s="30">
        <v>800.99999999999795</v>
      </c>
      <c r="F6" s="23">
        <f t="shared" si="1"/>
        <v>5946.8629032257968</v>
      </c>
      <c r="G6" s="36"/>
      <c r="H6" s="23"/>
      <c r="I6" s="31"/>
      <c r="J6" s="34"/>
      <c r="K6" s="25"/>
      <c r="M6" s="36"/>
      <c r="N6" s="36"/>
      <c r="O6" s="203"/>
      <c r="P6" s="34"/>
    </row>
    <row r="7" spans="1:16" ht="15.6" x14ac:dyDescent="0.3">
      <c r="A7" s="20" t="s">
        <v>134</v>
      </c>
      <c r="B7" s="20" t="s">
        <v>135</v>
      </c>
      <c r="C7" s="21">
        <v>2446.6666666666702</v>
      </c>
      <c r="D7" s="22">
        <f t="shared" si="0"/>
        <v>8685.6666666666788</v>
      </c>
      <c r="E7" s="30">
        <v>1216.9333333333357</v>
      </c>
      <c r="F7" s="23">
        <f t="shared" si="1"/>
        <v>8356.2333333333427</v>
      </c>
      <c r="G7" s="36"/>
      <c r="H7" s="23"/>
      <c r="I7" s="31"/>
      <c r="J7" s="34"/>
      <c r="K7" s="25"/>
      <c r="M7" s="36"/>
      <c r="N7" s="36"/>
      <c r="O7" s="203"/>
      <c r="P7" s="34"/>
    </row>
    <row r="8" spans="1:16" ht="15.6" x14ac:dyDescent="0.3">
      <c r="A8" s="20" t="s">
        <v>136</v>
      </c>
      <c r="B8" s="20" t="s">
        <v>137</v>
      </c>
      <c r="C8" s="21">
        <v>2484.0860215053799</v>
      </c>
      <c r="D8" s="22">
        <f t="shared" si="0"/>
        <v>8818.5053763440974</v>
      </c>
      <c r="E8" s="30">
        <v>1240.1333333333355</v>
      </c>
      <c r="F8" s="23">
        <f t="shared" si="1"/>
        <v>8465.8720430107624</v>
      </c>
      <c r="G8" s="36"/>
      <c r="H8" s="23"/>
      <c r="I8" s="31"/>
      <c r="J8" s="34"/>
      <c r="K8" s="25"/>
      <c r="M8" s="36"/>
      <c r="N8" s="36"/>
      <c r="O8" s="203"/>
      <c r="P8" s="34"/>
    </row>
    <row r="9" spans="1:16" ht="15.6" x14ac:dyDescent="0.3">
      <c r="A9" s="20" t="s">
        <v>138</v>
      </c>
      <c r="B9" s="20" t="s">
        <v>139</v>
      </c>
      <c r="C9" s="21">
        <v>2827.95698924731</v>
      </c>
      <c r="D9" s="22">
        <f t="shared" si="0"/>
        <v>10039.24731182795</v>
      </c>
      <c r="E9" s="30">
        <v>1453.3333333333321</v>
      </c>
      <c r="F9" s="23">
        <f t="shared" si="1"/>
        <v>9473.4139784946183</v>
      </c>
      <c r="G9" s="36"/>
      <c r="H9" s="23"/>
      <c r="I9" s="31"/>
      <c r="J9" s="34"/>
      <c r="K9" s="25"/>
      <c r="M9" s="36"/>
      <c r="N9" s="36"/>
      <c r="O9" s="203"/>
      <c r="P9" s="34"/>
    </row>
    <row r="10" spans="1:16" ht="15.6" x14ac:dyDescent="0.3">
      <c r="A10" s="20" t="s">
        <v>136</v>
      </c>
      <c r="B10" s="20" t="s">
        <v>140</v>
      </c>
      <c r="C10" s="21">
        <v>3101.0752688172001</v>
      </c>
      <c r="D10" s="22">
        <f t="shared" si="0"/>
        <v>11008.81720430106</v>
      </c>
      <c r="E10" s="30">
        <v>1622.6666666666642</v>
      </c>
      <c r="F10" s="23">
        <f t="shared" si="1"/>
        <v>10273.650537634396</v>
      </c>
      <c r="G10" s="36"/>
      <c r="H10" s="23"/>
      <c r="I10" s="31"/>
      <c r="J10" s="34"/>
      <c r="K10" s="25"/>
      <c r="M10" s="36"/>
      <c r="N10" s="36"/>
      <c r="O10" s="203"/>
      <c r="P10" s="34"/>
    </row>
    <row r="11" spans="1:16" ht="15.6" x14ac:dyDescent="0.3">
      <c r="A11" s="20" t="s">
        <v>141</v>
      </c>
      <c r="B11" s="20" t="s">
        <v>142</v>
      </c>
      <c r="C11" s="21">
        <v>3302.36559139785</v>
      </c>
      <c r="D11" s="22">
        <f t="shared" si="0"/>
        <v>11723.397849462368</v>
      </c>
      <c r="E11" s="30">
        <v>1747.4666666666672</v>
      </c>
      <c r="F11" s="23">
        <f t="shared" si="1"/>
        <v>10863.431182795701</v>
      </c>
      <c r="G11" s="36"/>
      <c r="H11" s="23"/>
      <c r="I11" s="31"/>
      <c r="J11" s="34"/>
      <c r="K11" s="25"/>
      <c r="M11" s="36"/>
      <c r="N11" s="36"/>
      <c r="O11" s="203"/>
      <c r="P11" s="34"/>
    </row>
    <row r="12" spans="1:16" ht="15.6" x14ac:dyDescent="0.3">
      <c r="A12" s="20" t="s">
        <v>143</v>
      </c>
      <c r="B12" s="20" t="s">
        <v>144</v>
      </c>
      <c r="C12" s="21">
        <v>3366.6666666666601</v>
      </c>
      <c r="D12" s="22">
        <f t="shared" si="0"/>
        <v>11951.666666666642</v>
      </c>
      <c r="E12" s="30">
        <v>1787.3333333333292</v>
      </c>
      <c r="F12" s="23">
        <f t="shared" si="1"/>
        <v>11051.833333333314</v>
      </c>
      <c r="G12" s="36"/>
      <c r="H12" s="23"/>
      <c r="I12" s="31"/>
      <c r="J12" s="34"/>
      <c r="K12" s="25"/>
      <c r="M12" s="36"/>
      <c r="N12" s="36"/>
      <c r="O12" s="203"/>
      <c r="P12" s="34"/>
    </row>
    <row r="13" spans="1:16" ht="15.6" x14ac:dyDescent="0.3">
      <c r="A13" s="20" t="s">
        <v>145</v>
      </c>
      <c r="B13" s="20" t="s">
        <v>146</v>
      </c>
      <c r="C13" s="21">
        <v>2582.1505376344098</v>
      </c>
      <c r="D13" s="22">
        <f t="shared" si="0"/>
        <v>9166.6344086021545</v>
      </c>
      <c r="E13" s="30">
        <v>1300.9333333333343</v>
      </c>
      <c r="F13" s="23">
        <f t="shared" si="1"/>
        <v>8753.2010752688202</v>
      </c>
      <c r="G13" s="36"/>
      <c r="H13" s="23"/>
      <c r="I13" s="31"/>
      <c r="J13" s="34"/>
      <c r="K13" s="25"/>
      <c r="M13" s="36"/>
      <c r="N13" s="36"/>
      <c r="O13" s="203"/>
      <c r="P13" s="34"/>
    </row>
    <row r="14" spans="1:16" ht="15.6" x14ac:dyDescent="0.3">
      <c r="A14" s="20" t="s">
        <v>147</v>
      </c>
      <c r="B14" s="20" t="s">
        <v>148</v>
      </c>
      <c r="C14" s="21">
        <v>1946.8817204300999</v>
      </c>
      <c r="D14" s="22">
        <f t="shared" si="0"/>
        <v>6911.430107526854</v>
      </c>
      <c r="E14" s="30">
        <v>907.06666666666206</v>
      </c>
      <c r="F14" s="23">
        <f t="shared" si="1"/>
        <v>6448.113440860192</v>
      </c>
      <c r="G14" s="36"/>
      <c r="H14" s="23"/>
      <c r="I14" s="31"/>
      <c r="J14" s="34"/>
      <c r="K14" s="25"/>
      <c r="M14" s="36"/>
      <c r="N14" s="36"/>
      <c r="O14" s="203"/>
      <c r="P14" s="34"/>
    </row>
    <row r="15" spans="1:16" ht="15.6" x14ac:dyDescent="0.3">
      <c r="A15" s="20" t="s">
        <v>149</v>
      </c>
      <c r="B15" s="20" t="s">
        <v>125</v>
      </c>
      <c r="C15" s="21">
        <v>1697.8494623655899</v>
      </c>
      <c r="D15" s="22">
        <f t="shared" si="0"/>
        <v>6027.3655913978437</v>
      </c>
      <c r="E15" s="30">
        <v>752.66666666666583</v>
      </c>
      <c r="F15" s="23">
        <f t="shared" si="1"/>
        <v>5718.4489247311776</v>
      </c>
      <c r="G15" s="36"/>
      <c r="H15" s="23"/>
      <c r="I15" s="31"/>
      <c r="J15" s="34"/>
      <c r="K15" s="25"/>
      <c r="M15" s="36"/>
      <c r="N15" s="36"/>
      <c r="O15" s="203"/>
      <c r="P15" s="34"/>
    </row>
    <row r="16" spans="1:16" ht="15.6" x14ac:dyDescent="0.3">
      <c r="A16" s="20" t="s">
        <v>150</v>
      </c>
      <c r="B16" s="20" t="s">
        <v>151</v>
      </c>
      <c r="C16" s="21">
        <v>1842.1505376344101</v>
      </c>
      <c r="D16" s="22">
        <f t="shared" si="0"/>
        <v>6539.6344086021554</v>
      </c>
      <c r="E16" s="30">
        <v>842.13333333333435</v>
      </c>
      <c r="F16" s="23">
        <f t="shared" si="1"/>
        <v>6141.2510752688213</v>
      </c>
      <c r="G16" s="36"/>
      <c r="H16" s="23"/>
      <c r="I16" s="31"/>
      <c r="J16" s="34"/>
      <c r="K16" s="25"/>
      <c r="M16" s="36"/>
      <c r="N16" s="36"/>
      <c r="O16" s="203"/>
      <c r="P16" s="34"/>
    </row>
    <row r="17" spans="1:16" ht="15.6" x14ac:dyDescent="0.3">
      <c r="A17" s="20" t="s">
        <v>152</v>
      </c>
      <c r="B17" s="20" t="s">
        <v>153</v>
      </c>
      <c r="C17" s="21">
        <v>2971.61290322581</v>
      </c>
      <c r="D17" s="22">
        <f t="shared" si="0"/>
        <v>10549.225806451625</v>
      </c>
      <c r="E17" s="30">
        <v>1542.4000000000024</v>
      </c>
      <c r="F17" s="23">
        <f t="shared" si="1"/>
        <v>9894.3258064516231</v>
      </c>
      <c r="G17" s="36"/>
      <c r="H17" s="23"/>
      <c r="I17" s="31"/>
      <c r="J17" s="34"/>
      <c r="K17" s="25"/>
      <c r="M17" s="36"/>
      <c r="N17" s="36"/>
      <c r="O17" s="203"/>
      <c r="P17" s="34"/>
    </row>
    <row r="18" spans="1:16" ht="15.6" x14ac:dyDescent="0.3">
      <c r="A18" s="20" t="s">
        <v>154</v>
      </c>
      <c r="B18" s="20" t="s">
        <v>155</v>
      </c>
      <c r="C18" s="21">
        <v>2932.2580645161302</v>
      </c>
      <c r="D18" s="22">
        <f t="shared" si="0"/>
        <v>10409.516129032261</v>
      </c>
      <c r="E18" s="30">
        <v>1518.0000000000009</v>
      </c>
      <c r="F18" s="23">
        <f t="shared" si="1"/>
        <v>9779.0161290322612</v>
      </c>
      <c r="G18" s="36"/>
      <c r="H18" s="23"/>
      <c r="I18" s="31"/>
      <c r="J18" s="34"/>
      <c r="K18" s="25"/>
      <c r="M18" s="36"/>
      <c r="N18" s="36"/>
      <c r="O18" s="203"/>
      <c r="P18" s="34"/>
    </row>
    <row r="19" spans="1:16" ht="15.6" x14ac:dyDescent="0.3">
      <c r="A19" s="25" t="s">
        <v>136</v>
      </c>
      <c r="B19" s="25" t="s">
        <v>156</v>
      </c>
      <c r="C19" s="21">
        <v>2679.7849462365598</v>
      </c>
      <c r="D19" s="22">
        <f t="shared" si="0"/>
        <v>9513.2365591397866</v>
      </c>
      <c r="E19" s="30">
        <v>1361.4666666666672</v>
      </c>
      <c r="F19" s="23">
        <f t="shared" si="1"/>
        <v>9039.2698924731194</v>
      </c>
      <c r="G19" s="36"/>
      <c r="H19" s="23"/>
      <c r="I19" s="31"/>
      <c r="J19" s="34"/>
      <c r="K19" s="25"/>
      <c r="M19" s="36"/>
      <c r="N19" s="36"/>
      <c r="O19" s="203"/>
      <c r="P19" s="34"/>
    </row>
    <row r="20" spans="1:16" ht="15.6" x14ac:dyDescent="0.3">
      <c r="A20" s="25" t="s">
        <v>138</v>
      </c>
      <c r="B20" s="25" t="s">
        <v>157</v>
      </c>
      <c r="C20" s="21">
        <v>1267.7419354838701</v>
      </c>
      <c r="D20" s="22">
        <f t="shared" si="0"/>
        <v>4500.4838709677388</v>
      </c>
      <c r="E20" s="30">
        <v>539.49999999999955</v>
      </c>
      <c r="F20" s="23">
        <f t="shared" si="1"/>
        <v>4404.7338709677388</v>
      </c>
      <c r="G20" s="36"/>
      <c r="H20" s="23"/>
      <c r="I20" s="31"/>
      <c r="J20" s="34"/>
      <c r="K20" s="25"/>
      <c r="M20" s="36"/>
      <c r="N20" s="36"/>
      <c r="O20" s="203"/>
      <c r="P20" s="34"/>
    </row>
    <row r="21" spans="1:16" ht="15.6" x14ac:dyDescent="0.3">
      <c r="A21" s="25" t="s">
        <v>138</v>
      </c>
      <c r="B21" s="25" t="s">
        <v>158</v>
      </c>
      <c r="C21" s="21">
        <v>1270.7526881720401</v>
      </c>
      <c r="D21" s="22">
        <f t="shared" si="0"/>
        <v>4511.1720430107416</v>
      </c>
      <c r="E21" s="30">
        <v>540.89999999999873</v>
      </c>
      <c r="F21" s="23">
        <f t="shared" si="1"/>
        <v>4414.0220430107429</v>
      </c>
      <c r="G21" s="36"/>
      <c r="H21" s="23"/>
      <c r="I21" s="31"/>
      <c r="J21" s="34"/>
      <c r="K21" s="25"/>
      <c r="M21" s="36"/>
      <c r="N21" s="36"/>
      <c r="O21" s="203"/>
      <c r="P21" s="34"/>
    </row>
    <row r="22" spans="1:16" ht="16.2" thickBot="1" x14ac:dyDescent="0.35">
      <c r="A22" s="25"/>
      <c r="B22" s="25"/>
      <c r="C22" s="25"/>
      <c r="D22" s="25"/>
      <c r="E22" s="25"/>
      <c r="F22" s="28"/>
      <c r="G22" s="25"/>
      <c r="H22" s="27"/>
      <c r="I22" s="25"/>
      <c r="J22" s="25"/>
      <c r="K22" s="25"/>
    </row>
    <row r="23" spans="1:16" ht="15.6" x14ac:dyDescent="0.3">
      <c r="A23" s="24" t="s">
        <v>159</v>
      </c>
      <c r="B23" s="24" t="s">
        <v>160</v>
      </c>
      <c r="C23" s="25"/>
      <c r="D23" s="25"/>
      <c r="E23" s="25"/>
      <c r="F23" s="25" t="s">
        <v>165</v>
      </c>
      <c r="G23" s="25" t="s">
        <v>126</v>
      </c>
      <c r="H23" s="211">
        <v>3.55</v>
      </c>
      <c r="I23" s="25"/>
      <c r="J23" s="25"/>
      <c r="K23" s="25"/>
    </row>
    <row r="24" spans="1:16" ht="15.6" x14ac:dyDescent="0.3">
      <c r="A24" s="212">
        <v>250</v>
      </c>
      <c r="B24" s="212">
        <f>$A$24*$H$23</f>
        <v>887.5</v>
      </c>
      <c r="C24" s="212">
        <v>2000</v>
      </c>
      <c r="D24" s="212"/>
      <c r="E24" s="212"/>
      <c r="F24" s="212"/>
      <c r="G24" s="212"/>
      <c r="H24" s="212" t="s">
        <v>162</v>
      </c>
      <c r="I24" s="25"/>
      <c r="J24" s="25"/>
      <c r="K24" s="25"/>
      <c r="N24" s="24">
        <v>2000</v>
      </c>
    </row>
    <row r="25" spans="1:16" ht="15.6" x14ac:dyDescent="0.3">
      <c r="A25" s="212">
        <v>125</v>
      </c>
      <c r="B25" s="212">
        <f>$A$25*$H$23</f>
        <v>443.75</v>
      </c>
      <c r="C25" s="212"/>
      <c r="D25" s="212"/>
      <c r="E25" s="212"/>
      <c r="F25" s="213"/>
      <c r="G25" s="212"/>
      <c r="H25" s="214">
        <v>250</v>
      </c>
      <c r="I25" s="26"/>
      <c r="J25" s="25"/>
      <c r="K25" s="25"/>
    </row>
    <row r="26" spans="1:16" ht="15.6" x14ac:dyDescent="0.3">
      <c r="A26" s="212"/>
      <c r="B26" s="212"/>
      <c r="C26" s="212"/>
      <c r="D26" s="212"/>
      <c r="E26" s="212"/>
      <c r="F26" s="213"/>
      <c r="G26" s="212"/>
      <c r="H26" s="214">
        <v>125</v>
      </c>
      <c r="I26" s="25"/>
      <c r="J26" s="25"/>
      <c r="K26" s="25"/>
      <c r="N26" s="201"/>
    </row>
    <row r="27" spans="1:16" ht="15.6" x14ac:dyDescent="0.3">
      <c r="A27" s="212"/>
      <c r="B27" s="212"/>
      <c r="C27" s="212"/>
      <c r="D27" s="212"/>
      <c r="E27" s="212"/>
      <c r="F27" s="213"/>
      <c r="G27" s="212"/>
      <c r="H27" s="212"/>
      <c r="I27" s="20"/>
      <c r="J27" s="25"/>
      <c r="K27" s="25"/>
      <c r="N27" s="201"/>
    </row>
    <row r="28" spans="1:16" ht="15.6" x14ac:dyDescent="0.3">
      <c r="A28" s="212"/>
      <c r="B28" s="212"/>
      <c r="C28" s="212"/>
      <c r="D28" s="212"/>
      <c r="E28" s="212"/>
      <c r="F28" s="212"/>
      <c r="G28" s="212" t="s">
        <v>164</v>
      </c>
      <c r="H28" s="214">
        <v>2000</v>
      </c>
      <c r="I28" s="25"/>
      <c r="J28" s="25"/>
      <c r="K28" s="25"/>
    </row>
    <row r="29" spans="1:16" ht="15.6" x14ac:dyDescent="0.3">
      <c r="A29" s="212"/>
      <c r="B29" s="212"/>
      <c r="C29" s="212"/>
      <c r="D29" s="212"/>
      <c r="E29" s="212"/>
      <c r="F29" s="212"/>
      <c r="G29" s="212"/>
      <c r="H29" s="212"/>
      <c r="I29" s="25"/>
      <c r="J29" s="25"/>
      <c r="K29" s="25"/>
    </row>
    <row r="30" spans="1:16" ht="15.6" x14ac:dyDescent="0.3">
      <c r="A30" s="212"/>
      <c r="B30" s="212"/>
      <c r="C30" s="212"/>
      <c r="D30" s="212"/>
      <c r="E30" s="212"/>
      <c r="F30" s="212"/>
      <c r="G30" s="215"/>
      <c r="H30" s="215"/>
      <c r="I30" s="25"/>
      <c r="J30" s="25"/>
      <c r="K30" s="25"/>
    </row>
    <row r="31" spans="1:16" ht="15.6" x14ac:dyDescent="0.3">
      <c r="A31" s="25"/>
      <c r="B31" s="25"/>
      <c r="C31" s="25"/>
      <c r="D31" s="25"/>
      <c r="E31" s="25"/>
      <c r="F31" s="25"/>
      <c r="I31" s="25"/>
      <c r="J31" s="30"/>
      <c r="K31" s="25"/>
    </row>
    <row r="32" spans="1:16" ht="15.6" x14ac:dyDescent="0.3">
      <c r="A32" s="25"/>
      <c r="B32" s="25"/>
      <c r="C32" s="25"/>
      <c r="D32" s="25"/>
      <c r="E32" s="25"/>
      <c r="F32" s="25"/>
      <c r="I32" s="25"/>
      <c r="J32" s="30"/>
      <c r="K32" s="25"/>
    </row>
    <row r="33" spans="1:11" ht="15.6" x14ac:dyDescent="0.3">
      <c r="A33" s="25"/>
      <c r="B33" s="25"/>
      <c r="C33" s="25"/>
      <c r="D33" s="25"/>
      <c r="E33" s="25"/>
      <c r="F33" s="29"/>
      <c r="I33" s="25"/>
      <c r="J33" s="25"/>
      <c r="K33" s="25"/>
    </row>
    <row r="34" spans="1:11" ht="15.6" x14ac:dyDescent="0.3">
      <c r="A34" s="25"/>
      <c r="B34" s="25"/>
      <c r="C34" s="25"/>
      <c r="D34" s="25"/>
      <c r="E34" s="25"/>
      <c r="F34" s="25"/>
      <c r="J34" s="25"/>
      <c r="K34" s="25"/>
    </row>
    <row r="35" spans="1:11" ht="15.6" x14ac:dyDescent="0.3">
      <c r="A35" s="25"/>
      <c r="B35" s="25"/>
      <c r="C35" s="25"/>
      <c r="D35" s="25"/>
      <c r="E35" s="25"/>
      <c r="F35" s="25"/>
      <c r="G35" s="25"/>
      <c r="H35" s="25"/>
      <c r="I35" s="25"/>
      <c r="J35" s="25"/>
      <c r="K35" s="25"/>
    </row>
    <row r="36" spans="1:11" ht="15.6" x14ac:dyDescent="0.3">
      <c r="A36" s="25"/>
      <c r="B36" s="25"/>
      <c r="C36" s="25"/>
      <c r="D36" s="25"/>
      <c r="E36" s="25"/>
      <c r="F36" s="25"/>
      <c r="G36" s="25"/>
      <c r="H36" s="25"/>
      <c r="I36" s="25"/>
      <c r="J36" s="25"/>
      <c r="K36" s="25"/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B5C17-0BFD-4E4E-A359-DDC168A3FD37}">
  <dimension ref="A1:Z46"/>
  <sheetViews>
    <sheetView rightToLeft="1" workbookViewId="0">
      <selection activeCell="P25" sqref="P25"/>
    </sheetView>
  </sheetViews>
  <sheetFormatPr defaultRowHeight="13.8" x14ac:dyDescent="0.25"/>
  <cols>
    <col min="1" max="1" width="8.796875" style="3"/>
    <col min="2" max="2" width="15" style="3" bestFit="1" customWidth="1"/>
    <col min="3" max="3" width="11" style="3" customWidth="1"/>
    <col min="4" max="4" width="14.69921875" style="3" customWidth="1"/>
    <col min="5" max="5" width="10.5" style="3" bestFit="1" customWidth="1"/>
    <col min="6" max="6" width="8.796875" style="3"/>
    <col min="7" max="7" width="0" style="3" hidden="1" customWidth="1"/>
    <col min="8" max="8" width="20.8984375" style="3" hidden="1" customWidth="1"/>
    <col min="9" max="9" width="17.5" style="3" hidden="1" customWidth="1"/>
    <col min="10" max="10" width="16.3984375" style="3" hidden="1" customWidth="1"/>
    <col min="11" max="11" width="0" style="3" hidden="1" customWidth="1"/>
    <col min="12" max="12" width="9.8984375" style="3" hidden="1" customWidth="1"/>
    <col min="13" max="13" width="27.69921875" style="3" hidden="1" customWidth="1"/>
    <col min="14" max="14" width="0" style="3" hidden="1" customWidth="1"/>
    <col min="15" max="16" width="8.796875" style="3"/>
    <col min="17" max="17" width="11" style="3" bestFit="1" customWidth="1"/>
    <col min="18" max="19" width="10.59765625" style="3" bestFit="1" customWidth="1"/>
    <col min="20" max="16384" width="8.796875" style="3"/>
  </cols>
  <sheetData>
    <row r="1" spans="1:19" s="103" customFormat="1" ht="55.8" x14ac:dyDescent="0.3">
      <c r="A1" s="100" t="s">
        <v>310</v>
      </c>
      <c r="B1" s="100" t="s">
        <v>311</v>
      </c>
      <c r="C1" s="100" t="s">
        <v>312</v>
      </c>
      <c r="D1" s="100" t="s">
        <v>313</v>
      </c>
      <c r="E1" s="101" t="s">
        <v>363</v>
      </c>
      <c r="F1" s="100" t="s">
        <v>315</v>
      </c>
      <c r="G1" s="100" t="s">
        <v>364</v>
      </c>
      <c r="H1" s="100" t="s">
        <v>365</v>
      </c>
      <c r="I1" s="102" t="s">
        <v>318</v>
      </c>
      <c r="J1" s="102" t="s">
        <v>320</v>
      </c>
      <c r="K1" s="102" t="s">
        <v>321</v>
      </c>
      <c r="L1" s="102" t="s">
        <v>322</v>
      </c>
      <c r="M1" s="102" t="s">
        <v>323</v>
      </c>
      <c r="N1" s="100" t="s">
        <v>311</v>
      </c>
      <c r="R1" s="104"/>
      <c r="S1" s="104"/>
    </row>
    <row r="2" spans="1:19" ht="14.4" x14ac:dyDescent="0.3">
      <c r="A2" s="105">
        <v>1855</v>
      </c>
      <c r="B2" s="105" t="s">
        <v>325</v>
      </c>
      <c r="C2" s="105" t="s">
        <v>326</v>
      </c>
      <c r="D2" s="106">
        <v>43723</v>
      </c>
      <c r="E2" s="204">
        <v>2500</v>
      </c>
      <c r="F2" s="105">
        <v>10</v>
      </c>
      <c r="G2" s="107">
        <v>8.9999999999999993E-3</v>
      </c>
      <c r="H2" s="108">
        <v>16761.877886011072</v>
      </c>
      <c r="I2" s="109">
        <f t="shared" ref="I2:I25" si="0">(H2-E2)*$B$28*(1-G2)</f>
        <v>43813.915053614619</v>
      </c>
      <c r="J2" s="109">
        <f>VLOOKUP(F2,'[2]נתונים נוספים'!$A$4:$D$9,VLOOKUP([3]FREQUENCY!C2,'[2]נתונים נוספים'!$F$4:$G$6,2,0),0)*[3]FREQUENCY!$B$28*H2</f>
        <v>7794.2732169951478</v>
      </c>
      <c r="K2" s="3" t="str">
        <f>TEXT(D2,"mmmm")</f>
        <v>ספטמבר</v>
      </c>
      <c r="L2" s="11">
        <f>IF(AND(C2=$L$32,E2&lt;$L$33),DATE(YEAR(D2)+$L$34,MONTH(D2),$L$35),IF(OR(F2=$L$40,F2=$L$41),DATE($L$36,$L$37,DAY(D2)),DATE(YEAR(D2),MONTH(D2)+$L$38,DAY(D2)+$L$39)))</f>
        <v>44440</v>
      </c>
      <c r="M2" s="3" t="str">
        <f>IF(C2=$M$33,IF(E2&lt;=$M$34,$M$35,$M$36),IF(C2=$M$32,IF(YEAR(D2)&lt;=$M$37,$M$39,IF(YEAR(D2)&lt;=$M$38,$M$40,$M$41)),$M$42))</f>
        <v>תווי קניה</v>
      </c>
      <c r="N2" s="3" t="str">
        <f>B2</f>
        <v>NI</v>
      </c>
      <c r="R2" s="110"/>
      <c r="S2" s="111"/>
    </row>
    <row r="3" spans="1:19" ht="14.4" x14ac:dyDescent="0.3">
      <c r="A3" s="105">
        <v>1856</v>
      </c>
      <c r="B3" s="105" t="s">
        <v>328</v>
      </c>
      <c r="C3" s="105" t="s">
        <v>329</v>
      </c>
      <c r="D3" s="106">
        <v>42075</v>
      </c>
      <c r="E3" s="204">
        <v>146726</v>
      </c>
      <c r="F3" s="105">
        <v>13</v>
      </c>
      <c r="G3" s="107">
        <v>2.8999999999999998E-3</v>
      </c>
      <c r="H3" s="108">
        <v>214094.11260178176</v>
      </c>
      <c r="I3" s="109">
        <f t="shared" si="0"/>
        <v>208235.50973323346</v>
      </c>
      <c r="J3" s="109">
        <f>VLOOKUP(F3,'[2]נתונים נוספים'!$A$4:$D$9,VLOOKUP([3]FREQUENCY!C3,'[2]נתונים נוספים'!$F$4:$G$6,2,0),0)*[3]FREQUENCY!$B$28*H3</f>
        <v>142693.72604908753</v>
      </c>
      <c r="K3" s="3" t="str">
        <f t="shared" ref="K3:K26" si="1">TEXT(D3,"mmmm")</f>
        <v>מרץ</v>
      </c>
      <c r="L3" s="11">
        <f t="shared" ref="L3:L26" si="2">IF(AND(C3=$L$32,E3&lt;$L$33),DATE(YEAR(D3)+$L$34,MONTH(D3),$L$35),IF(OR(F3=$L$40,F3=$L$41),DATE($L$36,$L$37,DAY(D3)),DATE(YEAR(D3),MONTH(D3)+$L$38,DAY(D3)+$L$39)))</f>
        <v>42332</v>
      </c>
      <c r="M3" s="3" t="str">
        <f t="shared" ref="M3:M26" si="3">IF(C3=$M$33,IF(E3&lt;=$M$34,$M$35,$M$36),IF(C3=$M$32,IF(YEAR(D3)&lt;=$M$37,$M$39,IF(YEAR(D3)&lt;=$M$38,$M$40,$M$41)),$M$42))</f>
        <v>חופשה בפריז</v>
      </c>
      <c r="N3" s="3" t="str">
        <f t="shared" ref="N3:N26" si="4">B3</f>
        <v>KF</v>
      </c>
      <c r="R3" s="110"/>
      <c r="S3" s="111"/>
    </row>
    <row r="4" spans="1:19" ht="14.4" x14ac:dyDescent="0.3">
      <c r="A4" s="105">
        <v>1857</v>
      </c>
      <c r="B4" s="105" t="s">
        <v>330</v>
      </c>
      <c r="C4" s="105" t="s">
        <v>326</v>
      </c>
      <c r="D4" s="106">
        <v>43007</v>
      </c>
      <c r="E4" s="204">
        <v>253094</v>
      </c>
      <c r="F4" s="105">
        <v>10</v>
      </c>
      <c r="G4" s="107">
        <v>6.0000000000000001E-3</v>
      </c>
      <c r="H4" s="108">
        <v>307637.33883750002</v>
      </c>
      <c r="I4" s="109">
        <f t="shared" si="0"/>
        <v>168069.84429387259</v>
      </c>
      <c r="J4" s="109">
        <f>VLOOKUP(F4,'[2]נתונים נוספים'!$A$4:$D$9,VLOOKUP([3]FREQUENCY!C4,'[2]נתונים נוספים'!$F$4:$G$6,2,0),0)*[3]FREQUENCY!$B$28*H4</f>
        <v>143051.36255943749</v>
      </c>
      <c r="K4" s="3" t="str">
        <f t="shared" si="1"/>
        <v>ספטמבר</v>
      </c>
      <c r="L4" s="11">
        <f t="shared" si="2"/>
        <v>43261</v>
      </c>
      <c r="M4" s="3" t="str">
        <f t="shared" si="3"/>
        <v>תווי קניה</v>
      </c>
      <c r="N4" s="3" t="str">
        <f t="shared" si="4"/>
        <v>CC</v>
      </c>
      <c r="R4" s="110"/>
      <c r="S4" s="111"/>
    </row>
    <row r="5" spans="1:19" ht="14.4" x14ac:dyDescent="0.3">
      <c r="A5" s="105">
        <v>1858</v>
      </c>
      <c r="B5" s="105" t="s">
        <v>332</v>
      </c>
      <c r="C5" s="105" t="s">
        <v>326</v>
      </c>
      <c r="D5" s="106">
        <v>42367</v>
      </c>
      <c r="E5" s="204">
        <v>70131</v>
      </c>
      <c r="F5" s="105">
        <v>14</v>
      </c>
      <c r="G5" s="107">
        <v>1E-3</v>
      </c>
      <c r="H5" s="108">
        <v>332458.09982047207</v>
      </c>
      <c r="I5" s="109">
        <f t="shared" si="0"/>
        <v>812400.79543401999</v>
      </c>
      <c r="J5" s="109">
        <f>VLOOKUP(F5,'[2]נתונים נוספים'!$A$4:$D$9,VLOOKUP([3]FREQUENCY!C5,'[2]נתונים נוספים'!$F$4:$G$6,2,0),0)*[3]FREQUENCY!$B$28*H5</f>
        <v>164899.21751095416</v>
      </c>
      <c r="K5" s="3" t="str">
        <f t="shared" si="1"/>
        <v>דצמבר</v>
      </c>
      <c r="L5" s="11">
        <f t="shared" si="2"/>
        <v>44649</v>
      </c>
      <c r="M5" s="3" t="str">
        <f t="shared" si="3"/>
        <v>סט סירים</v>
      </c>
      <c r="N5" s="3" t="str">
        <f t="shared" si="4"/>
        <v>BJ</v>
      </c>
      <c r="R5" s="110"/>
      <c r="S5" s="111"/>
    </row>
    <row r="6" spans="1:19" ht="14.4" x14ac:dyDescent="0.3">
      <c r="A6" s="105">
        <v>1859</v>
      </c>
      <c r="B6" s="105" t="s">
        <v>333</v>
      </c>
      <c r="C6" s="105" t="s">
        <v>326</v>
      </c>
      <c r="D6" s="106">
        <v>43866</v>
      </c>
      <c r="E6" s="204">
        <v>63372</v>
      </c>
      <c r="F6" s="105">
        <v>15</v>
      </c>
      <c r="G6" s="107">
        <v>1E-3</v>
      </c>
      <c r="H6" s="108">
        <v>1229261.9753939065</v>
      </c>
      <c r="I6" s="109">
        <f t="shared" si="0"/>
        <v>3610644.6647973889</v>
      </c>
      <c r="J6" s="109">
        <f>VLOOKUP(F6,'[2]נתונים נוספים'!$A$4:$D$9,VLOOKUP([3]FREQUENCY!C6,'[2]נתונים נוספים'!$F$4:$G$6,2,0),0)*[3]FREQUENCY!$B$28*H6</f>
        <v>819303.10660003859</v>
      </c>
      <c r="K6" s="3" t="str">
        <f t="shared" si="1"/>
        <v>פברואר</v>
      </c>
      <c r="L6" s="11">
        <f t="shared" si="2"/>
        <v>44625</v>
      </c>
      <c r="M6" s="3" t="str">
        <f t="shared" si="3"/>
        <v>תווי קניה</v>
      </c>
      <c r="N6" s="3" t="str">
        <f t="shared" si="4"/>
        <v>DE</v>
      </c>
      <c r="R6" s="110"/>
      <c r="S6" s="111"/>
    </row>
    <row r="7" spans="1:19" ht="14.4" x14ac:dyDescent="0.3">
      <c r="A7" s="105">
        <v>1860</v>
      </c>
      <c r="B7" s="105" t="s">
        <v>332</v>
      </c>
      <c r="C7" s="105" t="s">
        <v>329</v>
      </c>
      <c r="D7" s="106">
        <v>43604</v>
      </c>
      <c r="E7" s="204">
        <v>72483</v>
      </c>
      <c r="F7" s="105">
        <v>15</v>
      </c>
      <c r="G7" s="107">
        <v>1E-3</v>
      </c>
      <c r="H7" s="108">
        <v>1877660.4186721272</v>
      </c>
      <c r="I7" s="109">
        <f t="shared" si="0"/>
        <v>5590453.9478857107</v>
      </c>
      <c r="J7" s="109">
        <f>VLOOKUP(F7,'[2]נתונים נוספים'!$A$4:$D$9,VLOOKUP([3]FREQUENCY!C7,'[2]נתונים נוספים'!$F$4:$G$6,2,0),0)*[3]FREQUENCY!$B$28*H7</f>
        <v>582074.72978835949</v>
      </c>
      <c r="K7" s="3" t="str">
        <f t="shared" si="1"/>
        <v>מאי</v>
      </c>
      <c r="L7" s="11">
        <f t="shared" si="2"/>
        <v>44639</v>
      </c>
      <c r="M7" s="3" t="str">
        <f t="shared" si="3"/>
        <v>חופשה בפריז</v>
      </c>
      <c r="N7" s="3" t="str">
        <f t="shared" si="4"/>
        <v>BJ</v>
      </c>
      <c r="R7" s="110"/>
      <c r="S7" s="111"/>
    </row>
    <row r="8" spans="1:19" ht="14.4" x14ac:dyDescent="0.3">
      <c r="A8" s="105">
        <v>1861</v>
      </c>
      <c r="B8" s="105" t="s">
        <v>335</v>
      </c>
      <c r="C8" s="105" t="s">
        <v>329</v>
      </c>
      <c r="D8" s="106">
        <v>42562</v>
      </c>
      <c r="E8" s="204">
        <v>108877</v>
      </c>
      <c r="F8" s="105">
        <v>13</v>
      </c>
      <c r="G8" s="107">
        <v>2.8999999999999998E-3</v>
      </c>
      <c r="H8" s="108">
        <v>986671.12314671697</v>
      </c>
      <c r="I8" s="109">
        <f t="shared" si="0"/>
        <v>2713270.4125877335</v>
      </c>
      <c r="J8" s="109">
        <f>VLOOKUP(F8,'[2]נתונים נוספים'!$A$4:$D$9,VLOOKUP([3]FREQUENCY!C8,'[2]נתונים נוספים'!$F$4:$G$6,2,0),0)*[3]FREQUENCY!$B$28*H8</f>
        <v>657616.30357728689</v>
      </c>
      <c r="K8" s="3" t="str">
        <f t="shared" si="1"/>
        <v>יולי</v>
      </c>
      <c r="L8" s="11">
        <f t="shared" si="2"/>
        <v>42817</v>
      </c>
      <c r="M8" s="3" t="str">
        <f t="shared" si="3"/>
        <v>חופשה בפריז</v>
      </c>
      <c r="N8" s="3" t="str">
        <f t="shared" si="4"/>
        <v>CK</v>
      </c>
      <c r="R8" s="110"/>
      <c r="S8" s="111"/>
    </row>
    <row r="9" spans="1:19" ht="14.4" x14ac:dyDescent="0.3">
      <c r="A9" s="105">
        <v>1862</v>
      </c>
      <c r="B9" s="105" t="s">
        <v>337</v>
      </c>
      <c r="C9" s="105" t="s">
        <v>329</v>
      </c>
      <c r="D9" s="106">
        <v>44321</v>
      </c>
      <c r="E9" s="204">
        <v>96681</v>
      </c>
      <c r="F9" s="105">
        <v>10</v>
      </c>
      <c r="G9" s="107">
        <v>7.0000000000000001E-3</v>
      </c>
      <c r="H9" s="108">
        <v>191421.76696540037</v>
      </c>
      <c r="I9" s="109">
        <f t="shared" si="0"/>
        <v>291640.50294959196</v>
      </c>
      <c r="J9" s="109">
        <f>VLOOKUP(F9,'[2]נתונים נוספים'!$A$4:$D$9,VLOOKUP([3]FREQUENCY!C9,'[2]נתונים נוספים'!$F$4:$G$6,2,0),0)*[3]FREQUENCY!$B$28*H9</f>
        <v>89011.121638911165</v>
      </c>
      <c r="K9" s="3" t="str">
        <f t="shared" si="1"/>
        <v>מאי</v>
      </c>
      <c r="L9" s="11">
        <f t="shared" si="2"/>
        <v>44578</v>
      </c>
      <c r="M9" s="3" t="str">
        <f t="shared" si="3"/>
        <v>חופשה בפריז</v>
      </c>
      <c r="N9" s="3" t="str">
        <f t="shared" si="4"/>
        <v>JK</v>
      </c>
      <c r="R9" s="110"/>
      <c r="S9" s="111"/>
    </row>
    <row r="10" spans="1:19" ht="14.4" x14ac:dyDescent="0.3">
      <c r="A10" s="105">
        <v>1863</v>
      </c>
      <c r="B10" s="105" t="s">
        <v>338</v>
      </c>
      <c r="C10" s="105" t="s">
        <v>329</v>
      </c>
      <c r="D10" s="106">
        <v>43400</v>
      </c>
      <c r="E10" s="204">
        <v>66590</v>
      </c>
      <c r="F10" s="105">
        <v>15</v>
      </c>
      <c r="G10" s="107">
        <v>1E-3</v>
      </c>
      <c r="H10" s="108">
        <v>377756.68354481296</v>
      </c>
      <c r="I10" s="109">
        <f t="shared" si="0"/>
        <v>963652.10226993135</v>
      </c>
      <c r="J10" s="109">
        <f>VLOOKUP(F10,'[2]נתונים נוספים'!$A$4:$D$9,VLOOKUP([3]FREQUENCY!C10,'[2]נתונים נוספים'!$F$4:$G$6,2,0),0)*[3]FREQUENCY!$B$28*H10</f>
        <v>117104.57189889204</v>
      </c>
      <c r="K10" s="3" t="str">
        <f t="shared" si="1"/>
        <v>אוקטובר</v>
      </c>
      <c r="L10" s="11">
        <f t="shared" si="2"/>
        <v>44647</v>
      </c>
      <c r="M10" s="3" t="str">
        <f t="shared" si="3"/>
        <v>חופשה בפריז</v>
      </c>
      <c r="N10" s="3" t="str">
        <f t="shared" si="4"/>
        <v>DJ</v>
      </c>
      <c r="R10" s="110"/>
      <c r="S10" s="111"/>
    </row>
    <row r="11" spans="1:19" ht="14.4" x14ac:dyDescent="0.3">
      <c r="A11" s="105">
        <v>1864</v>
      </c>
      <c r="B11" s="105" t="s">
        <v>340</v>
      </c>
      <c r="C11" s="105" t="s">
        <v>341</v>
      </c>
      <c r="D11" s="106">
        <v>43977</v>
      </c>
      <c r="E11" s="204">
        <v>224708</v>
      </c>
      <c r="F11" s="105">
        <v>10</v>
      </c>
      <c r="G11" s="107">
        <v>6.0000000000000001E-3</v>
      </c>
      <c r="H11" s="108">
        <v>3453180.5195543682</v>
      </c>
      <c r="I11" s="109">
        <f t="shared" si="0"/>
        <v>9948215.2217548303</v>
      </c>
      <c r="J11" s="109">
        <f>VLOOKUP(F11,'[2]נתונים נוספים'!$A$4:$D$9,VLOOKUP([3]FREQUENCY!C11,'[2]נתונים נוספים'!$F$4:$G$6,2,0),0)*[3]FREQUENCY!$B$28*H11</f>
        <v>1070485.9610618544</v>
      </c>
      <c r="K11" s="3" t="str">
        <f t="shared" si="1"/>
        <v>מאי</v>
      </c>
      <c r="L11" s="11">
        <f t="shared" si="2"/>
        <v>44234</v>
      </c>
      <c r="M11" s="3" t="str">
        <f t="shared" si="3"/>
        <v>ללא מתנה</v>
      </c>
      <c r="N11" s="3" t="str">
        <f t="shared" si="4"/>
        <v>LB</v>
      </c>
      <c r="R11" s="110"/>
      <c r="S11" s="111"/>
    </row>
    <row r="12" spans="1:19" ht="14.4" x14ac:dyDescent="0.3">
      <c r="A12" s="105">
        <v>1865</v>
      </c>
      <c r="B12" s="105" t="s">
        <v>342</v>
      </c>
      <c r="C12" s="105" t="s">
        <v>326</v>
      </c>
      <c r="D12" s="106">
        <v>44029</v>
      </c>
      <c r="E12" s="204">
        <v>49492</v>
      </c>
      <c r="F12" s="105">
        <v>14</v>
      </c>
      <c r="G12" s="107">
        <v>1.1000000000000001E-3</v>
      </c>
      <c r="H12" s="108">
        <v>2044762.0534205888</v>
      </c>
      <c r="I12" s="109">
        <f t="shared" si="0"/>
        <v>6178533.2947216621</v>
      </c>
      <c r="J12" s="109">
        <f>VLOOKUP(F12,'[2]נתונים נוספים'!$A$4:$D$9,VLOOKUP([3]FREQUENCY!C12,'[2]נתונים נוספים'!$F$4:$G$6,2,0),0)*[3]FREQUENCY!$B$28*H12</f>
        <v>1014201.9784966122</v>
      </c>
      <c r="K12" s="3" t="str">
        <f t="shared" si="1"/>
        <v>יולי</v>
      </c>
      <c r="L12" s="11">
        <f t="shared" si="2"/>
        <v>44743</v>
      </c>
      <c r="M12" s="3" t="str">
        <f t="shared" si="3"/>
        <v>תווי קניה</v>
      </c>
      <c r="N12" s="3" t="str">
        <f t="shared" si="4"/>
        <v>LM</v>
      </c>
      <c r="R12" s="110"/>
      <c r="S12" s="111"/>
    </row>
    <row r="13" spans="1:19" ht="14.4" x14ac:dyDescent="0.3">
      <c r="A13" s="105">
        <v>1866</v>
      </c>
      <c r="B13" s="105" t="s">
        <v>343</v>
      </c>
      <c r="C13" s="105" t="s">
        <v>326</v>
      </c>
      <c r="D13" s="106">
        <v>40661</v>
      </c>
      <c r="E13" s="204">
        <v>76982</v>
      </c>
      <c r="F13" s="105">
        <v>13</v>
      </c>
      <c r="G13" s="107">
        <v>3.8999999999999998E-3</v>
      </c>
      <c r="H13" s="108">
        <v>2617985.4305046364</v>
      </c>
      <c r="I13" s="109">
        <f t="shared" si="0"/>
        <v>7846389.9030895717</v>
      </c>
      <c r="J13" s="109">
        <f>VLOOKUP(F13,'[2]נתונים נוספים'!$A$4:$D$9,VLOOKUP([3]FREQUENCY!C13,'[2]נתונים נוספים'!$F$4:$G$6,2,0),0)*[3]FREQUENCY!$B$28*H13</f>
        <v>1866623.6119498059</v>
      </c>
      <c r="K13" s="3" t="str">
        <f t="shared" si="1"/>
        <v>אפריל</v>
      </c>
      <c r="L13" s="11">
        <f t="shared" si="2"/>
        <v>40917</v>
      </c>
      <c r="M13" s="3" t="str">
        <f t="shared" si="3"/>
        <v>כרטיס להופעה</v>
      </c>
      <c r="N13" s="3" t="str">
        <f t="shared" si="4"/>
        <v>BK</v>
      </c>
      <c r="R13" s="110"/>
      <c r="S13" s="111"/>
    </row>
    <row r="14" spans="1:19" ht="14.4" x14ac:dyDescent="0.3">
      <c r="A14" s="105">
        <v>1867</v>
      </c>
      <c r="B14" s="105" t="s">
        <v>345</v>
      </c>
      <c r="C14" s="105" t="s">
        <v>341</v>
      </c>
      <c r="D14" s="106">
        <v>40434</v>
      </c>
      <c r="E14" s="204">
        <v>184883</v>
      </c>
      <c r="F14" s="105">
        <v>10</v>
      </c>
      <c r="G14" s="107">
        <v>6.0000000000000001E-3</v>
      </c>
      <c r="H14" s="108">
        <v>2226133.6383189736</v>
      </c>
      <c r="I14" s="109">
        <f t="shared" si="0"/>
        <v>6289909.7169160852</v>
      </c>
      <c r="J14" s="109">
        <f>VLOOKUP(F14,'[2]נתונים נוספים'!$A$4:$D$9,VLOOKUP([3]FREQUENCY!C14,'[2]נתונים נוספים'!$F$4:$G$6,2,0),0)*[3]FREQUENCY!$B$28*H14</f>
        <v>690101.42787888192</v>
      </c>
      <c r="K14" s="3" t="str">
        <f t="shared" si="1"/>
        <v>ספטמבר</v>
      </c>
      <c r="L14" s="11">
        <f t="shared" si="2"/>
        <v>40688</v>
      </c>
      <c r="M14" s="3" t="str">
        <f t="shared" si="3"/>
        <v>ללא מתנה</v>
      </c>
      <c r="N14" s="3" t="str">
        <f t="shared" si="4"/>
        <v>DK</v>
      </c>
    </row>
    <row r="15" spans="1:19" ht="14.4" x14ac:dyDescent="0.3">
      <c r="A15" s="105">
        <v>1868</v>
      </c>
      <c r="B15" s="105" t="s">
        <v>347</v>
      </c>
      <c r="C15" s="105" t="s">
        <v>341</v>
      </c>
      <c r="D15" s="106">
        <v>41924</v>
      </c>
      <c r="E15" s="204">
        <v>8780</v>
      </c>
      <c r="F15" s="105">
        <v>10</v>
      </c>
      <c r="G15" s="107">
        <v>8.9999999999999993E-3</v>
      </c>
      <c r="H15" s="108">
        <v>122381.75185310727</v>
      </c>
      <c r="I15" s="109">
        <f t="shared" si="0"/>
        <v>348995.94186793087</v>
      </c>
      <c r="J15" s="109">
        <f>VLOOKUP(F15,'[2]נתונים נוספים'!$A$4:$D$9,VLOOKUP([3]FREQUENCY!C15,'[2]נתונים נוספים'!$F$4:$G$6,2,0),0)*[3]FREQUENCY!$B$28*H15</f>
        <v>37938.343074463257</v>
      </c>
      <c r="K15" s="3" t="str">
        <f t="shared" si="1"/>
        <v>אוקטובר</v>
      </c>
      <c r="L15" s="11">
        <f t="shared" si="2"/>
        <v>42179</v>
      </c>
      <c r="M15" s="3" t="str">
        <f t="shared" si="3"/>
        <v>ללא מתנה</v>
      </c>
      <c r="N15" s="3" t="str">
        <f t="shared" si="4"/>
        <v>KL</v>
      </c>
    </row>
    <row r="16" spans="1:19" ht="14.4" x14ac:dyDescent="0.3">
      <c r="A16" s="105">
        <v>1869</v>
      </c>
      <c r="B16" s="105" t="s">
        <v>348</v>
      </c>
      <c r="C16" s="105" t="s">
        <v>326</v>
      </c>
      <c r="D16" s="106">
        <v>41231</v>
      </c>
      <c r="E16" s="204">
        <v>46900</v>
      </c>
      <c r="F16" s="105">
        <v>14</v>
      </c>
      <c r="G16" s="107">
        <v>1.1000000000000001E-3</v>
      </c>
      <c r="H16" s="108">
        <v>80582.931834117058</v>
      </c>
      <c r="I16" s="109">
        <f t="shared" si="0"/>
        <v>104302.22988820855</v>
      </c>
      <c r="J16" s="109">
        <f>VLOOKUP(F16,'[2]נתונים נוספים'!$A$4:$D$9,VLOOKUP([3]FREQUENCY!C16,'[2]נתונים נוספים'!$F$4:$G$6,2,0),0)*[3]FREQUENCY!$B$28*H16</f>
        <v>39969.134189722063</v>
      </c>
      <c r="K16" s="3" t="str">
        <f t="shared" si="1"/>
        <v>נובמבר</v>
      </c>
      <c r="L16" s="11">
        <f t="shared" si="2"/>
        <v>41944</v>
      </c>
      <c r="M16" s="3" t="str">
        <f t="shared" si="3"/>
        <v>כרטיס להופעה</v>
      </c>
      <c r="N16" s="3" t="str">
        <f t="shared" si="4"/>
        <v>NE</v>
      </c>
    </row>
    <row r="17" spans="1:26" ht="14.4" x14ac:dyDescent="0.3">
      <c r="A17" s="105">
        <v>1870</v>
      </c>
      <c r="B17" s="105" t="s">
        <v>349</v>
      </c>
      <c r="C17" s="105" t="s">
        <v>326</v>
      </c>
      <c r="D17" s="106">
        <v>41419</v>
      </c>
      <c r="E17" s="204">
        <v>162174</v>
      </c>
      <c r="F17" s="105">
        <v>14</v>
      </c>
      <c r="G17" s="107">
        <v>8.0000000000000004E-4</v>
      </c>
      <c r="H17" s="108">
        <v>1078268.712803452</v>
      </c>
      <c r="I17" s="109">
        <f t="shared" si="0"/>
        <v>2837621.6948029487</v>
      </c>
      <c r="J17" s="109">
        <f>VLOOKUP(F17,'[2]נתונים נוספים'!$A$4:$D$9,VLOOKUP([3]FREQUENCY!C17,'[2]נתונים נוספים'!$F$4:$G$6,2,0),0)*[3]FREQUENCY!$B$28*H17</f>
        <v>534821.2815505123</v>
      </c>
      <c r="K17" s="3" t="str">
        <f t="shared" si="1"/>
        <v>מאי</v>
      </c>
      <c r="L17" s="11">
        <f t="shared" si="2"/>
        <v>44645</v>
      </c>
      <c r="M17" s="3" t="str">
        <f t="shared" si="3"/>
        <v>סט סירים</v>
      </c>
      <c r="N17" s="3" t="str">
        <f t="shared" si="4"/>
        <v>MK</v>
      </c>
    </row>
    <row r="18" spans="1:26" ht="14.4" x14ac:dyDescent="0.3">
      <c r="A18" s="105">
        <v>1871</v>
      </c>
      <c r="B18" s="105" t="s">
        <v>342</v>
      </c>
      <c r="C18" s="105" t="s">
        <v>326</v>
      </c>
      <c r="D18" s="106">
        <v>41617</v>
      </c>
      <c r="E18" s="204">
        <v>10321</v>
      </c>
      <c r="F18" s="105">
        <v>14</v>
      </c>
      <c r="G18" s="107">
        <v>1.1000000000000001E-3</v>
      </c>
      <c r="H18" s="108">
        <v>372444.86881914415</v>
      </c>
      <c r="I18" s="109">
        <f t="shared" si="0"/>
        <v>1121349.1509466737</v>
      </c>
      <c r="J18" s="109">
        <f>VLOOKUP(F18,'[2]נתונים נוספים'!$A$4:$D$9,VLOOKUP([3]FREQUENCY!C18,'[2]נתונים נוספים'!$F$4:$G$6,2,0),0)*[3]FREQUENCY!$B$28*H18</f>
        <v>184732.65493429551</v>
      </c>
      <c r="K18" s="3" t="str">
        <f t="shared" si="1"/>
        <v>דצמבר</v>
      </c>
      <c r="L18" s="11">
        <f t="shared" si="2"/>
        <v>42339</v>
      </c>
      <c r="M18" s="3" t="str">
        <f t="shared" si="3"/>
        <v>סט סירים</v>
      </c>
      <c r="N18" s="3" t="str">
        <f t="shared" si="4"/>
        <v>LM</v>
      </c>
    </row>
    <row r="19" spans="1:26" ht="14.4" x14ac:dyDescent="0.3">
      <c r="A19" s="105">
        <v>1872</v>
      </c>
      <c r="B19" s="105" t="s">
        <v>351</v>
      </c>
      <c r="C19" s="105" t="s">
        <v>326</v>
      </c>
      <c r="D19" s="106">
        <v>43638</v>
      </c>
      <c r="E19" s="204">
        <v>56091</v>
      </c>
      <c r="F19" s="105">
        <v>15</v>
      </c>
      <c r="G19" s="107">
        <v>1E-3</v>
      </c>
      <c r="H19" s="108">
        <v>1453028.3037917621</v>
      </c>
      <c r="I19" s="109">
        <f t="shared" si="0"/>
        <v>4326175.1361127077</v>
      </c>
      <c r="J19" s="109">
        <f>VLOOKUP(F19,'[2]נתונים נוספים'!$A$4:$D$9,VLOOKUP([3]FREQUENCY!C19,'[2]נתונים נוספים'!$F$4:$G$6,2,0),0)*[3]FREQUENCY!$B$28*H19</f>
        <v>968443.3644772094</v>
      </c>
      <c r="K19" s="3" t="str">
        <f t="shared" si="1"/>
        <v>יוני</v>
      </c>
      <c r="L19" s="11">
        <f t="shared" si="2"/>
        <v>44642</v>
      </c>
      <c r="M19" s="3" t="str">
        <f t="shared" si="3"/>
        <v>תווי קניה</v>
      </c>
      <c r="N19" s="3" t="str">
        <f t="shared" si="4"/>
        <v>FD</v>
      </c>
    </row>
    <row r="20" spans="1:26" ht="14.4" x14ac:dyDescent="0.3">
      <c r="A20" s="105">
        <v>1873</v>
      </c>
      <c r="B20" s="105" t="s">
        <v>352</v>
      </c>
      <c r="C20" s="105" t="s">
        <v>329</v>
      </c>
      <c r="D20" s="106">
        <v>43291</v>
      </c>
      <c r="E20" s="204">
        <v>12866</v>
      </c>
      <c r="F20" s="105">
        <v>10</v>
      </c>
      <c r="G20" s="107">
        <v>8.0000000000000002E-3</v>
      </c>
      <c r="H20" s="108">
        <v>133822.73527755728</v>
      </c>
      <c r="I20" s="109">
        <f t="shared" si="0"/>
        <v>371966.15232554416</v>
      </c>
      <c r="J20" s="109">
        <f>VLOOKUP(F20,'[2]נתונים נוספים'!$A$4:$D$9,VLOOKUP([3]FREQUENCY!C20,'[2]נתונים נוספים'!$F$4:$G$6,2,0),0)*[3]FREQUENCY!$B$28*H20</f>
        <v>62227.571904064134</v>
      </c>
      <c r="K20" s="3" t="str">
        <f t="shared" si="1"/>
        <v>יולי</v>
      </c>
      <c r="L20" s="11">
        <f t="shared" si="2"/>
        <v>43546</v>
      </c>
      <c r="M20" s="3" t="str">
        <f t="shared" si="3"/>
        <v>חופשה באילת</v>
      </c>
      <c r="N20" s="3" t="str">
        <f t="shared" si="4"/>
        <v>KD</v>
      </c>
    </row>
    <row r="21" spans="1:26" ht="14.4" x14ac:dyDescent="0.3">
      <c r="A21" s="105">
        <v>1874</v>
      </c>
      <c r="B21" s="105" t="s">
        <v>353</v>
      </c>
      <c r="C21" s="105" t="s">
        <v>329</v>
      </c>
      <c r="D21" s="106">
        <v>43282</v>
      </c>
      <c r="E21" s="204">
        <v>71270</v>
      </c>
      <c r="F21" s="105">
        <v>13</v>
      </c>
      <c r="G21" s="107">
        <v>3.8999999999999998E-3</v>
      </c>
      <c r="H21" s="108">
        <v>142479.52031448073</v>
      </c>
      <c r="I21" s="109">
        <f t="shared" si="0"/>
        <v>219888.58987428818</v>
      </c>
      <c r="J21" s="109">
        <f>VLOOKUP(F21,'[2]נתונים נוספים'!$A$4:$D$9,VLOOKUP([3]FREQUENCY!C21,'[2]נתונים נוספים'!$F$4:$G$6,2,0),0)*[3]FREQUENCY!$B$28*H21</f>
        <v>94962.600289601411</v>
      </c>
      <c r="K21" s="3" t="str">
        <f t="shared" si="1"/>
        <v>יולי</v>
      </c>
      <c r="L21" s="11">
        <f t="shared" si="2"/>
        <v>43537</v>
      </c>
      <c r="M21" s="3" t="str">
        <f t="shared" si="3"/>
        <v>חופשה בפריז</v>
      </c>
      <c r="N21" s="3" t="str">
        <f t="shared" si="4"/>
        <v>EL</v>
      </c>
      <c r="Q21" s="216"/>
    </row>
    <row r="22" spans="1:26" ht="14.4" x14ac:dyDescent="0.3">
      <c r="A22" s="105">
        <v>1875</v>
      </c>
      <c r="B22" s="105" t="s">
        <v>354</v>
      </c>
      <c r="C22" s="105" t="s">
        <v>329</v>
      </c>
      <c r="D22" s="106">
        <v>43497</v>
      </c>
      <c r="E22" s="204">
        <v>10129</v>
      </c>
      <c r="F22" s="105">
        <v>14</v>
      </c>
      <c r="G22" s="107">
        <v>1.1000000000000001E-3</v>
      </c>
      <c r="H22" s="108">
        <v>22812.44860458418</v>
      </c>
      <c r="I22" s="109">
        <f t="shared" si="0"/>
        <v>39275.440114469333</v>
      </c>
      <c r="J22" s="109">
        <f>VLOOKUP(F22,'[2]נתונים נוספים'!$A$4:$D$9,VLOOKUP([3]FREQUENCY!C22,'[2]נתונים נוספים'!$F$4:$G$6,2,0),0)*[3]FREQUENCY!$B$28*H22</f>
        <v>10607.788601131644</v>
      </c>
      <c r="K22" s="3" t="str">
        <f t="shared" si="1"/>
        <v>פברואר</v>
      </c>
      <c r="L22" s="11">
        <f t="shared" si="2"/>
        <v>44621</v>
      </c>
      <c r="M22" s="3" t="str">
        <f t="shared" si="3"/>
        <v>חופשה באילת</v>
      </c>
      <c r="N22" s="3" t="str">
        <f t="shared" si="4"/>
        <v>KK</v>
      </c>
      <c r="Q22" s="216"/>
    </row>
    <row r="23" spans="1:26" ht="14.4" x14ac:dyDescent="0.3">
      <c r="A23" s="105">
        <v>1876</v>
      </c>
      <c r="B23" s="105" t="s">
        <v>355</v>
      </c>
      <c r="C23" s="105" t="s">
        <v>341</v>
      </c>
      <c r="D23" s="106">
        <v>42752</v>
      </c>
      <c r="E23" s="204">
        <v>143689</v>
      </c>
      <c r="F23" s="105">
        <v>13</v>
      </c>
      <c r="G23" s="107">
        <v>2.8999999999999998E-3</v>
      </c>
      <c r="H23" s="108">
        <v>1900016.8003544933</v>
      </c>
      <c r="I23" s="109">
        <f t="shared" si="0"/>
        <v>5428826.7941737426</v>
      </c>
      <c r="J23" s="109">
        <f>VLOOKUP(F23,'[2]נתונים נוספים'!$A$4:$D$9,VLOOKUP([3]FREQUENCY!C23,'[2]נתונים נוספים'!$F$4:$G$6,2,0),0)*[3]FREQUENCY!$B$28*H23</f>
        <v>1266361.1974362698</v>
      </c>
      <c r="K23" s="3" t="str">
        <f t="shared" si="1"/>
        <v>ינואר</v>
      </c>
      <c r="L23" s="11">
        <f t="shared" si="2"/>
        <v>43007</v>
      </c>
      <c r="M23" s="3" t="str">
        <f t="shared" si="3"/>
        <v>ללא מתנה</v>
      </c>
      <c r="N23" s="3" t="str">
        <f t="shared" si="4"/>
        <v>MC</v>
      </c>
      <c r="Q23" s="216"/>
    </row>
    <row r="24" spans="1:26" ht="14.4" x14ac:dyDescent="0.3">
      <c r="A24" s="105">
        <v>1877</v>
      </c>
      <c r="B24" s="105" t="s">
        <v>356</v>
      </c>
      <c r="C24" s="105" t="s">
        <v>341</v>
      </c>
      <c r="D24" s="106">
        <v>43140</v>
      </c>
      <c r="E24" s="204">
        <v>25719</v>
      </c>
      <c r="F24" s="105">
        <v>12</v>
      </c>
      <c r="G24" s="107">
        <v>5.7999999999999996E-3</v>
      </c>
      <c r="H24" s="108">
        <v>186489.11906743521</v>
      </c>
      <c r="I24" s="109">
        <f t="shared" si="0"/>
        <v>495496.72236821667</v>
      </c>
      <c r="J24" s="109">
        <f>VLOOKUP(F24,'[2]נתונים נוספים'!$A$4:$D$9,VLOOKUP([3]FREQUENCY!C24,'[2]נתונים נוספים'!$F$4:$G$6,2,0),0)*[3]FREQUENCY!$B$28*H24</f>
        <v>132966.74189508133</v>
      </c>
      <c r="K24" s="3" t="str">
        <f t="shared" si="1"/>
        <v>פברואר</v>
      </c>
      <c r="L24" s="11">
        <f t="shared" si="2"/>
        <v>43394</v>
      </c>
      <c r="M24" s="3" t="str">
        <f t="shared" si="3"/>
        <v>ללא מתנה</v>
      </c>
      <c r="N24" s="3" t="str">
        <f t="shared" si="4"/>
        <v>FJ</v>
      </c>
      <c r="Q24" s="216"/>
    </row>
    <row r="25" spans="1:26" ht="14.4" x14ac:dyDescent="0.3">
      <c r="A25" s="105">
        <v>1878</v>
      </c>
      <c r="B25" s="105" t="s">
        <v>357</v>
      </c>
      <c r="C25" s="105" t="s">
        <v>326</v>
      </c>
      <c r="D25" s="106">
        <v>42629</v>
      </c>
      <c r="E25" s="204">
        <v>215746</v>
      </c>
      <c r="F25" s="105">
        <v>14</v>
      </c>
      <c r="G25" s="107">
        <v>8.0000000000000004E-4</v>
      </c>
      <c r="H25" s="108">
        <v>1094342.8807251898</v>
      </c>
      <c r="I25" s="109">
        <f t="shared" si="0"/>
        <v>2721471.4099838901</v>
      </c>
      <c r="J25" s="109">
        <f>VLOOKUP(F25,'[2]נתונים נוספים'!$A$4:$D$9,VLOOKUP([3]FREQUENCY!C25,'[2]נתונים נוספים'!$F$4:$G$6,2,0),0)*[3]FREQUENCY!$B$28*H25</f>
        <v>542794.06883969426</v>
      </c>
      <c r="K25" s="3" t="str">
        <f t="shared" si="1"/>
        <v>ספטמבר</v>
      </c>
      <c r="L25" s="11">
        <f t="shared" si="2"/>
        <v>44636</v>
      </c>
      <c r="M25" s="3" t="str">
        <f t="shared" si="3"/>
        <v>סט סירים</v>
      </c>
      <c r="N25" s="3" t="str">
        <f t="shared" si="4"/>
        <v>AI</v>
      </c>
    </row>
    <row r="26" spans="1:26" ht="14.4" x14ac:dyDescent="0.3">
      <c r="A26" s="105">
        <v>1879</v>
      </c>
      <c r="B26" s="105" t="s">
        <v>358</v>
      </c>
      <c r="C26" s="105" t="s">
        <v>341</v>
      </c>
      <c r="D26" s="106">
        <v>40875</v>
      </c>
      <c r="E26" s="204">
        <v>131191</v>
      </c>
      <c r="F26" s="105">
        <v>10</v>
      </c>
      <c r="G26" s="107">
        <v>6.0000000000000001E-3</v>
      </c>
      <c r="H26" s="108">
        <v>203520.29998243746</v>
      </c>
      <c r="I26" s="109">
        <f>(H26-E26)*$B$28*(1-G26)</f>
        <v>222875.50496588278</v>
      </c>
      <c r="J26" s="109">
        <f>VLOOKUP(F26,'[2]נתונים נוספים'!$A$4:$D$9,VLOOKUP([3]FREQUENCY!C26,'[2]נתונים נוספים'!$F$4:$G$6,2,0),0)*[3]FREQUENCY!$B$28*H26</f>
        <v>63091.292994555624</v>
      </c>
      <c r="K26" s="3" t="str">
        <f t="shared" si="1"/>
        <v>נובמבר</v>
      </c>
      <c r="L26" s="11">
        <f t="shared" si="2"/>
        <v>41130</v>
      </c>
      <c r="M26" s="3" t="str">
        <f t="shared" si="3"/>
        <v>ללא מתנה</v>
      </c>
      <c r="N26" s="3" t="str">
        <f t="shared" si="4"/>
        <v>GI</v>
      </c>
    </row>
    <row r="27" spans="1:26" ht="14.4" thickBot="1" x14ac:dyDescent="0.3">
      <c r="S27" s="217"/>
    </row>
    <row r="28" spans="1:26" ht="14.4" thickBot="1" x14ac:dyDescent="0.3">
      <c r="A28" s="113" t="s">
        <v>126</v>
      </c>
      <c r="B28" s="114">
        <v>3.1</v>
      </c>
      <c r="T28" s="258" t="s">
        <v>366</v>
      </c>
      <c r="U28" s="258"/>
      <c r="V28" s="258"/>
      <c r="W28" s="258"/>
      <c r="X28" s="258"/>
      <c r="Y28" s="258"/>
      <c r="Z28" s="258"/>
    </row>
    <row r="29" spans="1:26" x14ac:dyDescent="0.25">
      <c r="T29" s="258"/>
      <c r="U29" s="258"/>
      <c r="V29" s="258"/>
      <c r="W29" s="258"/>
      <c r="X29" s="258"/>
      <c r="Y29" s="258"/>
      <c r="Z29" s="258"/>
    </row>
    <row r="30" spans="1:26" x14ac:dyDescent="0.25">
      <c r="A30" s="112"/>
      <c r="B30" s="112"/>
      <c r="C30" s="112"/>
      <c r="D30" s="112"/>
      <c r="E30" s="112"/>
    </row>
    <row r="31" spans="1:26" x14ac:dyDescent="0.25">
      <c r="A31" s="112"/>
      <c r="B31" s="115"/>
      <c r="C31" s="115"/>
      <c r="D31" s="112"/>
      <c r="E31" s="112"/>
      <c r="L31" s="116">
        <f>MIN(L2:L26)</f>
        <v>40688</v>
      </c>
      <c r="R31" s="217"/>
    </row>
    <row r="32" spans="1:26" ht="14.4" x14ac:dyDescent="0.3">
      <c r="L32" s="117" t="s">
        <v>326</v>
      </c>
      <c r="M32" s="105" t="s">
        <v>326</v>
      </c>
    </row>
    <row r="33" spans="1:13" ht="14.4" x14ac:dyDescent="0.3">
      <c r="L33" s="118">
        <v>55000</v>
      </c>
      <c r="M33" s="105" t="s">
        <v>329</v>
      </c>
    </row>
    <row r="34" spans="1:13" x14ac:dyDescent="0.25">
      <c r="A34" s="112"/>
      <c r="B34" s="112"/>
      <c r="L34" s="118">
        <v>2</v>
      </c>
      <c r="M34" s="48">
        <v>65000</v>
      </c>
    </row>
    <row r="35" spans="1:13" x14ac:dyDescent="0.25">
      <c r="A35" s="112"/>
      <c r="B35" s="112"/>
      <c r="L35" s="118">
        <v>1</v>
      </c>
      <c r="M35" s="48" t="s">
        <v>331</v>
      </c>
    </row>
    <row r="36" spans="1:13" x14ac:dyDescent="0.25">
      <c r="A36" s="112"/>
      <c r="B36" s="112"/>
      <c r="L36" s="118">
        <v>2022</v>
      </c>
      <c r="M36" s="48" t="s">
        <v>359</v>
      </c>
    </row>
    <row r="37" spans="1:13" x14ac:dyDescent="0.25">
      <c r="A37" s="112"/>
      <c r="B37" s="112"/>
      <c r="L37" s="118">
        <v>3</v>
      </c>
      <c r="M37" s="48">
        <v>2012</v>
      </c>
    </row>
    <row r="38" spans="1:13" x14ac:dyDescent="0.25">
      <c r="A38" s="112"/>
      <c r="B38" s="112"/>
      <c r="L38" s="118">
        <v>8</v>
      </c>
      <c r="M38" s="48">
        <v>2016</v>
      </c>
    </row>
    <row r="39" spans="1:13" x14ac:dyDescent="0.25">
      <c r="A39" s="112"/>
      <c r="B39" s="112"/>
      <c r="L39" s="118">
        <v>12</v>
      </c>
      <c r="M39" s="48" t="s">
        <v>339</v>
      </c>
    </row>
    <row r="40" spans="1:13" x14ac:dyDescent="0.25">
      <c r="A40" s="112"/>
      <c r="B40" s="112"/>
      <c r="L40" s="118">
        <v>14</v>
      </c>
      <c r="M40" s="48" t="s">
        <v>360</v>
      </c>
    </row>
    <row r="41" spans="1:13" x14ac:dyDescent="0.25">
      <c r="A41" s="112"/>
      <c r="B41" s="119"/>
      <c r="L41" s="118">
        <v>15</v>
      </c>
      <c r="M41" s="48" t="s">
        <v>361</v>
      </c>
    </row>
    <row r="42" spans="1:13" x14ac:dyDescent="0.25">
      <c r="M42" s="48" t="s">
        <v>346</v>
      </c>
    </row>
    <row r="44" spans="1:13" x14ac:dyDescent="0.25">
      <c r="M44" s="48" t="s">
        <v>360</v>
      </c>
    </row>
    <row r="46" spans="1:13" x14ac:dyDescent="0.25">
      <c r="M46" s="120">
        <f>COUNTIF(M2:M26,M44)</f>
        <v>4</v>
      </c>
    </row>
  </sheetData>
  <mergeCells count="1">
    <mergeCell ref="T28:Z2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7FF44-DF50-41B7-97EA-BF77F4E46095}">
  <sheetPr>
    <pageSetUpPr fitToPage="1"/>
  </sheetPr>
  <dimension ref="A1:U100"/>
  <sheetViews>
    <sheetView rightToLeft="1" zoomScale="70" zoomScaleNormal="70" workbookViewId="0">
      <selection activeCell="L12" sqref="L12"/>
    </sheetView>
  </sheetViews>
  <sheetFormatPr defaultColWidth="8.69921875" defaultRowHeight="15.6" x14ac:dyDescent="0.3"/>
  <cols>
    <col min="1" max="1" width="8.69921875" style="186"/>
    <col min="2" max="2" width="16" style="186" customWidth="1"/>
    <col min="3" max="3" width="19.09765625" style="186" customWidth="1"/>
    <col min="4" max="4" width="23.09765625" style="186" customWidth="1"/>
    <col min="5" max="5" width="22.59765625" style="186" customWidth="1"/>
    <col min="6" max="6" width="22.8984375" style="186" bestFit="1" customWidth="1"/>
    <col min="7" max="7" width="21.296875" style="186" customWidth="1"/>
    <col min="8" max="8" width="14" style="186" customWidth="1"/>
    <col min="9" max="9" width="10.59765625" style="186" customWidth="1"/>
    <col min="10" max="10" width="32.69921875" style="186" customWidth="1"/>
    <col min="11" max="11" width="13.09765625" style="186" customWidth="1"/>
    <col min="12" max="12" width="32.69921875" style="186" customWidth="1"/>
    <col min="13" max="15" width="8.69921875" style="186"/>
    <col min="16" max="16" width="22.296875" style="186" customWidth="1"/>
    <col min="17" max="17" width="20.3984375" style="186" customWidth="1"/>
    <col min="18" max="18" width="16.296875" style="186" customWidth="1"/>
    <col min="19" max="16384" width="8.69921875" style="186"/>
  </cols>
  <sheetData>
    <row r="1" spans="1:21" s="179" customFormat="1" ht="46.8" x14ac:dyDescent="0.25">
      <c r="A1" s="178" t="s">
        <v>367</v>
      </c>
      <c r="B1" s="178" t="s">
        <v>473</v>
      </c>
      <c r="C1" s="178" t="s">
        <v>474</v>
      </c>
      <c r="D1" s="178" t="s">
        <v>475</v>
      </c>
      <c r="E1" s="178" t="s">
        <v>476</v>
      </c>
      <c r="F1" s="178" t="s">
        <v>477</v>
      </c>
      <c r="G1" s="178" t="s">
        <v>478</v>
      </c>
      <c r="H1" s="178" t="s">
        <v>479</v>
      </c>
      <c r="I1" s="178" t="s">
        <v>480</v>
      </c>
      <c r="J1" s="178" t="s">
        <v>380</v>
      </c>
      <c r="K1" s="218" t="s">
        <v>481</v>
      </c>
      <c r="L1" s="219"/>
      <c r="M1" s="219"/>
      <c r="N1" s="219"/>
      <c r="O1" s="219"/>
      <c r="P1" s="219"/>
      <c r="Q1" s="219"/>
      <c r="R1" s="219"/>
      <c r="S1" s="219"/>
      <c r="T1" s="219"/>
      <c r="U1" s="219"/>
    </row>
    <row r="2" spans="1:21" x14ac:dyDescent="0.3">
      <c r="A2" s="180">
        <v>7425</v>
      </c>
      <c r="B2" s="180" t="s">
        <v>482</v>
      </c>
      <c r="C2" s="180" t="s">
        <v>138</v>
      </c>
      <c r="D2" s="180" t="s">
        <v>483</v>
      </c>
      <c r="E2" s="181">
        <v>45406</v>
      </c>
      <c r="F2" s="182">
        <v>92634</v>
      </c>
      <c r="G2" s="183" t="s">
        <v>484</v>
      </c>
      <c r="H2" s="184">
        <f>F2-(VLOOKUP(F2,$O$4:$Q$11,3,TRUE)+(F2-VLOOKUP(F2,$O$4:$Q$11,1,TRUE))*VLOOKUP(F2,$O$4:$Q$11,2,TRUE))</f>
        <v>64830.399999999994</v>
      </c>
      <c r="I2" s="185">
        <f>EOMONTH(E2,18)</f>
        <v>45961</v>
      </c>
      <c r="J2" s="186" t="str">
        <f ca="1">IF(I2&lt;=TODAY(), $Q$16,IF(OR(TEXT(I2,"DDDD")=$P$13,TEXT(I2,"DDDD")=$P$14),$Q$13,TEXT(I2,"DDDD")))</f>
        <v>אנא פנה בדחיפות לחברה</v>
      </c>
      <c r="K2" s="187">
        <f>H2/'עיצוב מותנה'!$F$53</f>
        <v>18522.971428571425</v>
      </c>
      <c r="L2" s="220"/>
      <c r="M2" s="220"/>
      <c r="N2" s="220"/>
      <c r="O2" s="220"/>
      <c r="P2" s="220"/>
      <c r="Q2" s="220"/>
      <c r="R2" s="220"/>
      <c r="S2" s="220"/>
      <c r="T2" s="220"/>
      <c r="U2" s="220"/>
    </row>
    <row r="3" spans="1:21" x14ac:dyDescent="0.3">
      <c r="A3" s="180">
        <v>8279</v>
      </c>
      <c r="B3" s="180" t="s">
        <v>485</v>
      </c>
      <c r="C3" s="180" t="s">
        <v>136</v>
      </c>
      <c r="D3" s="180" t="s">
        <v>486</v>
      </c>
      <c r="E3" s="181">
        <v>44816</v>
      </c>
      <c r="F3" s="182">
        <v>56995</v>
      </c>
      <c r="G3" s="180" t="s">
        <v>484</v>
      </c>
      <c r="H3" s="182">
        <f t="shared" ref="H3:H51" si="0">F3-(VLOOKUP(F3,$O$4:$Q$11,3,TRUE)+(F3-VLOOKUP(F3,$O$4:$Q$11,1,TRUE))*VLOOKUP(F3,$O$4:$Q$11,2,TRUE))</f>
        <v>43447</v>
      </c>
      <c r="I3" s="185">
        <f t="shared" ref="I3:I51" si="1">EOMONTH(E3,18)</f>
        <v>45382</v>
      </c>
      <c r="J3" s="186" t="str">
        <f t="shared" ref="J3:J51" ca="1" si="2">IF(I3&lt;=TODAY(), $Q$16,IF(OR(TEXT(I3,"DDDD")=$P$13,TEXT(I3,"DDDD")=$P$14),$Q$13,TEXT(I3,"DDDD")))</f>
        <v>אנא פנה בדחיפות לחברה</v>
      </c>
      <c r="K3" s="187">
        <f>H3/'עיצוב מותנה'!$F$53</f>
        <v>12413.428571428571</v>
      </c>
      <c r="L3" s="220"/>
      <c r="M3" s="220"/>
      <c r="N3" s="220"/>
      <c r="O3" s="221" t="s">
        <v>216</v>
      </c>
      <c r="P3" s="221" t="s">
        <v>487</v>
      </c>
      <c r="Q3" s="221" t="s">
        <v>218</v>
      </c>
      <c r="R3" s="220"/>
      <c r="S3" s="220"/>
      <c r="T3" s="220"/>
      <c r="U3" s="220"/>
    </row>
    <row r="4" spans="1:21" x14ac:dyDescent="0.3">
      <c r="A4" s="180">
        <v>8652</v>
      </c>
      <c r="B4" s="180" t="s">
        <v>488</v>
      </c>
      <c r="C4" s="180" t="s">
        <v>489</v>
      </c>
      <c r="D4" s="180" t="s">
        <v>490</v>
      </c>
      <c r="E4" s="181">
        <v>44340</v>
      </c>
      <c r="F4" s="182">
        <v>46998</v>
      </c>
      <c r="G4" s="180" t="s">
        <v>491</v>
      </c>
      <c r="H4" s="182">
        <f t="shared" si="0"/>
        <v>37448.800000000003</v>
      </c>
      <c r="I4" s="185">
        <f t="shared" si="1"/>
        <v>44895</v>
      </c>
      <c r="J4" s="186" t="str">
        <f t="shared" ca="1" si="2"/>
        <v>אנא פנה בדחיפות לחברה</v>
      </c>
      <c r="K4" s="187">
        <f>H4/'עיצוב מותנה'!$F$53</f>
        <v>10699.657142857144</v>
      </c>
      <c r="L4" s="220"/>
      <c r="M4" s="220"/>
      <c r="N4" s="220"/>
      <c r="O4" s="220">
        <v>0</v>
      </c>
      <c r="P4" s="222">
        <v>0</v>
      </c>
      <c r="Q4" s="220">
        <f>P4*O4</f>
        <v>0</v>
      </c>
      <c r="R4" s="220"/>
      <c r="S4" s="220"/>
      <c r="T4" s="220"/>
      <c r="U4" s="220"/>
    </row>
    <row r="5" spans="1:21" x14ac:dyDescent="0.3">
      <c r="A5" s="180">
        <v>4599</v>
      </c>
      <c r="B5" s="180" t="s">
        <v>492</v>
      </c>
      <c r="C5" s="180" t="s">
        <v>493</v>
      </c>
      <c r="D5" s="180" t="s">
        <v>494</v>
      </c>
      <c r="E5" s="181">
        <v>44212</v>
      </c>
      <c r="F5" s="182">
        <v>36490</v>
      </c>
      <c r="G5" s="180" t="s">
        <v>495</v>
      </c>
      <c r="H5" s="182">
        <f t="shared" si="0"/>
        <v>30968.5</v>
      </c>
      <c r="I5" s="185">
        <f t="shared" si="1"/>
        <v>44773</v>
      </c>
      <c r="J5" s="186" t="str">
        <f t="shared" ca="1" si="2"/>
        <v>אנא פנה בדחיפות לחברה</v>
      </c>
      <c r="K5" s="187">
        <f>H5/'עיצוב מותנה'!$F$53</f>
        <v>8848.1428571428569</v>
      </c>
      <c r="L5" s="220"/>
      <c r="M5" s="220"/>
      <c r="N5" s="220"/>
      <c r="O5" s="220">
        <v>10000</v>
      </c>
      <c r="P5" s="222">
        <v>0.1</v>
      </c>
      <c r="Q5" s="220">
        <f>(O5-O4)*P4+Q4</f>
        <v>0</v>
      </c>
      <c r="R5" s="220"/>
      <c r="S5" s="220"/>
      <c r="T5" s="220"/>
      <c r="U5" s="220"/>
    </row>
    <row r="6" spans="1:21" x14ac:dyDescent="0.3">
      <c r="A6" s="180">
        <v>3185</v>
      </c>
      <c r="B6" s="180" t="s">
        <v>496</v>
      </c>
      <c r="C6" s="180" t="s">
        <v>497</v>
      </c>
      <c r="D6" s="180" t="s">
        <v>498</v>
      </c>
      <c r="E6" s="181">
        <v>44235</v>
      </c>
      <c r="F6" s="182">
        <v>69142</v>
      </c>
      <c r="G6" s="180" t="s">
        <v>491</v>
      </c>
      <c r="H6" s="182">
        <f t="shared" si="0"/>
        <v>50735.199999999997</v>
      </c>
      <c r="I6" s="185">
        <f t="shared" si="1"/>
        <v>44804</v>
      </c>
      <c r="J6" s="186" t="str">
        <f t="shared" ca="1" si="2"/>
        <v>אנא פנה בדחיפות לחברה</v>
      </c>
      <c r="K6" s="187">
        <f>H6/'עיצוב מותנה'!$F$53</f>
        <v>14495.771428571428</v>
      </c>
      <c r="L6" s="220"/>
      <c r="M6" s="220"/>
      <c r="N6" s="220"/>
      <c r="O6" s="220">
        <v>15000</v>
      </c>
      <c r="P6" s="222">
        <v>0.15</v>
      </c>
      <c r="Q6" s="220">
        <f t="shared" ref="Q6:Q11" si="3">(O6-O5)*P5+Q5</f>
        <v>500</v>
      </c>
      <c r="R6" s="220"/>
      <c r="S6" s="220"/>
      <c r="T6" s="220"/>
      <c r="U6" s="220"/>
    </row>
    <row r="7" spans="1:21" x14ac:dyDescent="0.3">
      <c r="A7" s="180">
        <v>1455</v>
      </c>
      <c r="B7" s="180" t="s">
        <v>499</v>
      </c>
      <c r="C7" s="180" t="s">
        <v>500</v>
      </c>
      <c r="D7" s="180" t="s">
        <v>501</v>
      </c>
      <c r="E7" s="181">
        <v>45462</v>
      </c>
      <c r="F7" s="182">
        <v>18144</v>
      </c>
      <c r="G7" s="180" t="s">
        <v>502</v>
      </c>
      <c r="H7" s="182">
        <f t="shared" si="0"/>
        <v>17172.400000000001</v>
      </c>
      <c r="I7" s="185">
        <f t="shared" si="1"/>
        <v>46022</v>
      </c>
      <c r="J7" s="186" t="str">
        <f t="shared" ca="1" si="2"/>
        <v>אנא פנה בדחיפות לחברה</v>
      </c>
      <c r="K7" s="187">
        <f>H7/'עיצוב מותנה'!$F$53</f>
        <v>4906.4000000000005</v>
      </c>
      <c r="L7" s="220"/>
      <c r="M7" s="220"/>
      <c r="N7" s="220"/>
      <c r="O7" s="220">
        <v>20000</v>
      </c>
      <c r="P7" s="222">
        <v>0.2</v>
      </c>
      <c r="Q7" s="220">
        <f t="shared" si="3"/>
        <v>1250</v>
      </c>
      <c r="R7" s="220"/>
      <c r="S7" s="220"/>
      <c r="T7" s="220"/>
      <c r="U7" s="220"/>
    </row>
    <row r="8" spans="1:21" x14ac:dyDescent="0.3">
      <c r="A8" s="180">
        <v>9895</v>
      </c>
      <c r="B8" s="180" t="s">
        <v>503</v>
      </c>
      <c r="C8" s="180" t="s">
        <v>497</v>
      </c>
      <c r="D8" s="180" t="s">
        <v>504</v>
      </c>
      <c r="E8" s="181">
        <v>45389</v>
      </c>
      <c r="F8" s="182">
        <v>68691</v>
      </c>
      <c r="G8" s="180" t="s">
        <v>491</v>
      </c>
      <c r="H8" s="182">
        <f t="shared" si="0"/>
        <v>50464.6</v>
      </c>
      <c r="I8" s="185">
        <f t="shared" si="1"/>
        <v>45961</v>
      </c>
      <c r="J8" s="186" t="str">
        <f t="shared" ca="1" si="2"/>
        <v>אנא פנה בדחיפות לחברה</v>
      </c>
      <c r="K8" s="187">
        <f>H8/'עיצוב מותנה'!$F$53</f>
        <v>14418.457142857142</v>
      </c>
      <c r="L8" s="220"/>
      <c r="M8" s="220"/>
      <c r="N8" s="220"/>
      <c r="O8" s="220">
        <v>25000</v>
      </c>
      <c r="P8" s="222">
        <v>0.25</v>
      </c>
      <c r="Q8" s="220">
        <f t="shared" si="3"/>
        <v>2250</v>
      </c>
      <c r="R8" s="220"/>
      <c r="S8" s="220"/>
      <c r="T8" s="220"/>
      <c r="U8" s="220"/>
    </row>
    <row r="9" spans="1:21" x14ac:dyDescent="0.3">
      <c r="A9" s="180">
        <v>3838</v>
      </c>
      <c r="B9" s="180" t="s">
        <v>505</v>
      </c>
      <c r="C9" s="180" t="s">
        <v>506</v>
      </c>
      <c r="D9" s="180" t="s">
        <v>507</v>
      </c>
      <c r="E9" s="181">
        <v>44043</v>
      </c>
      <c r="F9" s="182">
        <v>18465</v>
      </c>
      <c r="G9" s="180" t="s">
        <v>495</v>
      </c>
      <c r="H9" s="182">
        <f t="shared" si="0"/>
        <v>17445.25</v>
      </c>
      <c r="I9" s="185">
        <f t="shared" si="1"/>
        <v>44592</v>
      </c>
      <c r="J9" s="186" t="str">
        <f t="shared" ca="1" si="2"/>
        <v>אנא פנה בדחיפות לחברה</v>
      </c>
      <c r="K9" s="187">
        <f>H9/'עיצוב מותנה'!$F$53</f>
        <v>4984.3571428571431</v>
      </c>
      <c r="L9" s="220"/>
      <c r="M9" s="220"/>
      <c r="N9" s="220"/>
      <c r="O9" s="220">
        <v>30000</v>
      </c>
      <c r="P9" s="222">
        <v>0.3</v>
      </c>
      <c r="Q9" s="220">
        <f t="shared" si="3"/>
        <v>3500</v>
      </c>
      <c r="R9" s="220"/>
      <c r="S9" s="220"/>
      <c r="T9" s="220"/>
      <c r="U9" s="220"/>
    </row>
    <row r="10" spans="1:21" x14ac:dyDescent="0.3">
      <c r="A10" s="180">
        <v>3146</v>
      </c>
      <c r="B10" s="180" t="s">
        <v>496</v>
      </c>
      <c r="C10" s="180" t="s">
        <v>508</v>
      </c>
      <c r="D10" s="180" t="s">
        <v>509</v>
      </c>
      <c r="E10" s="181">
        <v>44927</v>
      </c>
      <c r="F10" s="182">
        <v>60040</v>
      </c>
      <c r="G10" s="180" t="s">
        <v>502</v>
      </c>
      <c r="H10" s="182">
        <f t="shared" si="0"/>
        <v>45274</v>
      </c>
      <c r="I10" s="185">
        <f t="shared" si="1"/>
        <v>45504</v>
      </c>
      <c r="J10" s="186" t="str">
        <f t="shared" ca="1" si="2"/>
        <v>אנא פנה בדחיפות לחברה</v>
      </c>
      <c r="K10" s="187">
        <f>H10/'עיצוב מותנה'!$F$53</f>
        <v>12935.428571428571</v>
      </c>
      <c r="L10" s="220"/>
      <c r="M10" s="220"/>
      <c r="N10" s="220"/>
      <c r="O10" s="220">
        <v>35000</v>
      </c>
      <c r="P10" s="222">
        <v>0.35</v>
      </c>
      <c r="Q10" s="220">
        <f t="shared" si="3"/>
        <v>5000</v>
      </c>
      <c r="R10" s="220"/>
      <c r="S10" s="220"/>
      <c r="T10" s="220"/>
      <c r="U10" s="220"/>
    </row>
    <row r="11" spans="1:21" x14ac:dyDescent="0.3">
      <c r="A11" s="180">
        <v>8697</v>
      </c>
      <c r="B11" s="180" t="s">
        <v>510</v>
      </c>
      <c r="C11" s="180" t="s">
        <v>511</v>
      </c>
      <c r="D11" s="180" t="s">
        <v>512</v>
      </c>
      <c r="E11" s="181">
        <v>44751</v>
      </c>
      <c r="F11" s="182">
        <v>99630</v>
      </c>
      <c r="G11" s="180" t="s">
        <v>484</v>
      </c>
      <c r="H11" s="182">
        <f t="shared" si="0"/>
        <v>69028</v>
      </c>
      <c r="I11" s="185">
        <f t="shared" si="1"/>
        <v>45322</v>
      </c>
      <c r="J11" s="186" t="str">
        <f t="shared" ca="1" si="2"/>
        <v>אנא פנה בדחיפות לחברה</v>
      </c>
      <c r="K11" s="187">
        <f>H11/'עיצוב מותנה'!$F$53</f>
        <v>19722.285714285714</v>
      </c>
      <c r="L11" s="220"/>
      <c r="M11" s="220"/>
      <c r="N11" s="220"/>
      <c r="O11" s="220">
        <v>40000</v>
      </c>
      <c r="P11" s="222">
        <v>0.4</v>
      </c>
      <c r="Q11" s="220">
        <f t="shared" si="3"/>
        <v>6750</v>
      </c>
      <c r="R11" s="220"/>
      <c r="S11" s="220"/>
      <c r="T11" s="220"/>
      <c r="U11" s="220"/>
    </row>
    <row r="12" spans="1:21" x14ac:dyDescent="0.3">
      <c r="A12" s="180">
        <v>7126</v>
      </c>
      <c r="B12" s="180" t="s">
        <v>513</v>
      </c>
      <c r="C12" s="180" t="s">
        <v>514</v>
      </c>
      <c r="D12" s="180" t="s">
        <v>515</v>
      </c>
      <c r="E12" s="181">
        <v>44447</v>
      </c>
      <c r="F12" s="182">
        <v>80327</v>
      </c>
      <c r="G12" s="180" t="s">
        <v>484</v>
      </c>
      <c r="H12" s="182">
        <f t="shared" si="0"/>
        <v>57446.2</v>
      </c>
      <c r="I12" s="185">
        <f t="shared" si="1"/>
        <v>45016</v>
      </c>
      <c r="J12" s="186" t="str">
        <f t="shared" ca="1" si="2"/>
        <v>אנא פנה בדחיפות לחברה</v>
      </c>
      <c r="K12" s="187">
        <f>H12/'עיצוב מותנה'!$F$53</f>
        <v>16413.2</v>
      </c>
      <c r="L12" s="220"/>
      <c r="M12" s="220"/>
      <c r="N12" s="220"/>
      <c r="O12" s="220"/>
      <c r="P12" s="220"/>
      <c r="Q12" s="220"/>
      <c r="R12" s="220"/>
      <c r="S12" s="220"/>
      <c r="T12" s="220"/>
      <c r="U12" s="220"/>
    </row>
    <row r="13" spans="1:21" x14ac:dyDescent="0.3">
      <c r="A13" s="180">
        <v>1668</v>
      </c>
      <c r="B13" s="180" t="s">
        <v>516</v>
      </c>
      <c r="C13" s="180" t="s">
        <v>517</v>
      </c>
      <c r="D13" s="180" t="s">
        <v>518</v>
      </c>
      <c r="E13" s="181">
        <v>44246</v>
      </c>
      <c r="F13" s="182">
        <v>45453</v>
      </c>
      <c r="G13" s="180" t="s">
        <v>491</v>
      </c>
      <c r="H13" s="182">
        <f t="shared" si="0"/>
        <v>36521.800000000003</v>
      </c>
      <c r="I13" s="185">
        <f t="shared" si="1"/>
        <v>44804</v>
      </c>
      <c r="J13" s="186" t="str">
        <f t="shared" ca="1" si="2"/>
        <v>אנא פנה בדחיפות לחברה</v>
      </c>
      <c r="K13" s="187">
        <f>H13/'עיצוב מותנה'!$F$53</f>
        <v>10434.800000000001</v>
      </c>
      <c r="L13" s="220"/>
      <c r="M13" s="220"/>
      <c r="N13" s="223"/>
      <c r="O13" s="220"/>
      <c r="P13" s="220" t="s">
        <v>519</v>
      </c>
      <c r="Q13" s="220" t="s">
        <v>520</v>
      </c>
      <c r="R13" s="220"/>
      <c r="S13" s="220"/>
      <c r="T13" s="220"/>
      <c r="U13" s="220"/>
    </row>
    <row r="14" spans="1:21" x14ac:dyDescent="0.3">
      <c r="A14" s="180">
        <v>6820</v>
      </c>
      <c r="B14" s="180" t="s">
        <v>521</v>
      </c>
      <c r="C14" s="180" t="s">
        <v>522</v>
      </c>
      <c r="D14" s="180" t="s">
        <v>214</v>
      </c>
      <c r="E14" s="181">
        <v>45125</v>
      </c>
      <c r="F14" s="182">
        <v>39845</v>
      </c>
      <c r="G14" s="180" t="s">
        <v>495</v>
      </c>
      <c r="H14" s="182">
        <f t="shared" si="0"/>
        <v>33149.25</v>
      </c>
      <c r="I14" s="185">
        <f t="shared" si="1"/>
        <v>45688</v>
      </c>
      <c r="J14" s="186" t="str">
        <f t="shared" ca="1" si="2"/>
        <v>אנא פנה בדחיפות לחברה</v>
      </c>
      <c r="K14" s="187">
        <f>H14/'עיצוב מותנה'!$F$53</f>
        <v>9471.2142857142862</v>
      </c>
      <c r="L14" s="220"/>
      <c r="M14" s="220"/>
      <c r="N14" s="223"/>
      <c r="O14" s="220"/>
      <c r="P14" s="220" t="s">
        <v>523</v>
      </c>
      <c r="Q14" s="220"/>
      <c r="R14" s="220"/>
      <c r="S14" s="220"/>
      <c r="T14" s="220"/>
      <c r="U14" s="220"/>
    </row>
    <row r="15" spans="1:21" x14ac:dyDescent="0.3">
      <c r="A15" s="180">
        <v>9913</v>
      </c>
      <c r="B15" s="180" t="s">
        <v>524</v>
      </c>
      <c r="C15" s="180" t="s">
        <v>525</v>
      </c>
      <c r="D15" s="180" t="s">
        <v>526</v>
      </c>
      <c r="E15" s="181">
        <v>45544</v>
      </c>
      <c r="F15" s="182">
        <v>39649</v>
      </c>
      <c r="G15" s="180" t="s">
        <v>495</v>
      </c>
      <c r="H15" s="182">
        <f t="shared" si="0"/>
        <v>33021.85</v>
      </c>
      <c r="I15" s="185">
        <f t="shared" si="1"/>
        <v>46112</v>
      </c>
      <c r="J15" s="186" t="str">
        <f t="shared" ca="1" si="2"/>
        <v>יום שלישי</v>
      </c>
      <c r="K15" s="187">
        <f>H15/'עיצוב מותנה'!$F$53</f>
        <v>9434.8142857142848</v>
      </c>
      <c r="L15" s="220"/>
      <c r="M15" s="220"/>
      <c r="N15" s="223"/>
      <c r="O15" s="220"/>
      <c r="P15" s="220"/>
      <c r="Q15" s="220"/>
      <c r="R15" s="220"/>
      <c r="S15" s="220"/>
      <c r="T15" s="220"/>
      <c r="U15" s="220"/>
    </row>
    <row r="16" spans="1:21" x14ac:dyDescent="0.3">
      <c r="A16" s="180">
        <v>6959</v>
      </c>
      <c r="B16" s="180" t="s">
        <v>527</v>
      </c>
      <c r="C16" s="180" t="s">
        <v>528</v>
      </c>
      <c r="D16" s="180" t="s">
        <v>529</v>
      </c>
      <c r="E16" s="181">
        <v>44407</v>
      </c>
      <c r="F16" s="182">
        <v>59080</v>
      </c>
      <c r="G16" s="180" t="s">
        <v>495</v>
      </c>
      <c r="H16" s="182">
        <f t="shared" si="0"/>
        <v>44698</v>
      </c>
      <c r="I16" s="185">
        <f t="shared" si="1"/>
        <v>44957</v>
      </c>
      <c r="J16" s="186" t="str">
        <f t="shared" ca="1" si="2"/>
        <v>אנא פנה בדחיפות לחברה</v>
      </c>
      <c r="K16" s="187">
        <f>H16/'עיצוב מותנה'!$F$53</f>
        <v>12770.857142857143</v>
      </c>
      <c r="L16" s="220"/>
      <c r="M16" s="220"/>
      <c r="N16" s="223"/>
      <c r="O16" s="220"/>
      <c r="P16" s="220"/>
      <c r="Q16" s="220" t="s">
        <v>530</v>
      </c>
      <c r="R16" s="220"/>
      <c r="S16" s="220"/>
      <c r="T16" s="220"/>
      <c r="U16" s="220"/>
    </row>
    <row r="17" spans="1:21" x14ac:dyDescent="0.3">
      <c r="A17" s="180">
        <v>2545</v>
      </c>
      <c r="B17" s="180" t="s">
        <v>531</v>
      </c>
      <c r="C17" s="180" t="s">
        <v>136</v>
      </c>
      <c r="D17" s="180" t="s">
        <v>532</v>
      </c>
      <c r="E17" s="181">
        <v>44198</v>
      </c>
      <c r="F17" s="182">
        <v>44039</v>
      </c>
      <c r="G17" s="180" t="s">
        <v>495</v>
      </c>
      <c r="H17" s="182">
        <f t="shared" si="0"/>
        <v>35673.4</v>
      </c>
      <c r="I17" s="185">
        <f t="shared" si="1"/>
        <v>44773</v>
      </c>
      <c r="J17" s="186" t="str">
        <f t="shared" ca="1" si="2"/>
        <v>אנא פנה בדחיפות לחברה</v>
      </c>
      <c r="K17" s="187">
        <f>H17/'עיצוב מותנה'!$F$53</f>
        <v>10192.4</v>
      </c>
      <c r="L17" s="220"/>
      <c r="M17" s="220"/>
      <c r="N17" s="223"/>
      <c r="O17" s="220"/>
      <c r="P17" s="220"/>
      <c r="Q17" s="220"/>
      <c r="R17" s="220"/>
      <c r="S17" s="220"/>
      <c r="T17" s="220"/>
      <c r="U17" s="220"/>
    </row>
    <row r="18" spans="1:21" x14ac:dyDescent="0.3">
      <c r="A18" s="180">
        <v>8665</v>
      </c>
      <c r="B18" s="180" t="s">
        <v>533</v>
      </c>
      <c r="C18" s="180" t="s">
        <v>534</v>
      </c>
      <c r="D18" s="180" t="s">
        <v>509</v>
      </c>
      <c r="E18" s="181">
        <v>44323</v>
      </c>
      <c r="F18" s="182">
        <v>88374</v>
      </c>
      <c r="G18" s="180" t="s">
        <v>502</v>
      </c>
      <c r="H18" s="182">
        <f t="shared" si="0"/>
        <v>62274.399999999994</v>
      </c>
      <c r="I18" s="185">
        <f t="shared" si="1"/>
        <v>44895</v>
      </c>
      <c r="J18" s="186" t="str">
        <f t="shared" ca="1" si="2"/>
        <v>אנא פנה בדחיפות לחברה</v>
      </c>
      <c r="K18" s="187">
        <f>H18/'עיצוב מותנה'!$F$53</f>
        <v>17792.685714285712</v>
      </c>
      <c r="L18" s="220"/>
      <c r="M18" s="220"/>
      <c r="N18" s="223"/>
      <c r="O18" s="220"/>
      <c r="P18" s="220"/>
      <c r="Q18" s="220"/>
      <c r="R18" s="220"/>
      <c r="S18" s="220"/>
      <c r="T18" s="220"/>
      <c r="U18" s="220"/>
    </row>
    <row r="19" spans="1:21" x14ac:dyDescent="0.3">
      <c r="A19" s="180">
        <v>7462</v>
      </c>
      <c r="B19" s="180" t="s">
        <v>535</v>
      </c>
      <c r="C19" s="180" t="s">
        <v>536</v>
      </c>
      <c r="D19" s="180" t="s">
        <v>537</v>
      </c>
      <c r="E19" s="181">
        <v>45097</v>
      </c>
      <c r="F19" s="182">
        <v>16410</v>
      </c>
      <c r="G19" s="180" t="s">
        <v>495</v>
      </c>
      <c r="H19" s="182">
        <f t="shared" si="0"/>
        <v>15698.5</v>
      </c>
      <c r="I19" s="185">
        <f t="shared" si="1"/>
        <v>45657</v>
      </c>
      <c r="J19" s="186" t="str">
        <f t="shared" ca="1" si="2"/>
        <v>אנא פנה בדחיפות לחברה</v>
      </c>
      <c r="K19" s="187">
        <f>H19/'עיצוב מותנה'!$F$53</f>
        <v>4485.2857142857147</v>
      </c>
      <c r="L19" s="220"/>
      <c r="M19" s="220"/>
      <c r="N19" s="223"/>
      <c r="O19" s="220"/>
      <c r="P19" s="219" t="s">
        <v>475</v>
      </c>
      <c r="Q19" s="219" t="s">
        <v>478</v>
      </c>
      <c r="R19" s="220"/>
      <c r="S19" s="220"/>
      <c r="T19" s="220"/>
      <c r="U19" s="220"/>
    </row>
    <row r="20" spans="1:21" x14ac:dyDescent="0.3">
      <c r="A20" s="180">
        <v>8168</v>
      </c>
      <c r="B20" s="180" t="s">
        <v>538</v>
      </c>
      <c r="C20" s="180" t="s">
        <v>539</v>
      </c>
      <c r="D20" s="180" t="s">
        <v>526</v>
      </c>
      <c r="E20" s="181">
        <v>44821</v>
      </c>
      <c r="F20" s="182">
        <v>77854</v>
      </c>
      <c r="G20" s="180" t="s">
        <v>484</v>
      </c>
      <c r="H20" s="182">
        <f t="shared" si="0"/>
        <v>55962.400000000001</v>
      </c>
      <c r="I20" s="185">
        <f t="shared" si="1"/>
        <v>45382</v>
      </c>
      <c r="J20" s="186" t="str">
        <f t="shared" ca="1" si="2"/>
        <v>אנא פנה בדחיפות לחברה</v>
      </c>
      <c r="K20" s="187">
        <f>H20/'עיצוב מותנה'!$F$53</f>
        <v>15989.257142857143</v>
      </c>
      <c r="L20" s="220"/>
      <c r="M20" s="220"/>
      <c r="N20" s="223"/>
      <c r="O20" s="220"/>
      <c r="P20" s="220" t="s">
        <v>498</v>
      </c>
      <c r="Q20" s="220" t="s">
        <v>491</v>
      </c>
      <c r="R20" s="220"/>
      <c r="S20" s="220"/>
      <c r="T20" s="220"/>
      <c r="U20" s="220"/>
    </row>
    <row r="21" spans="1:21" x14ac:dyDescent="0.3">
      <c r="A21" s="180">
        <v>9731</v>
      </c>
      <c r="B21" s="180" t="s">
        <v>540</v>
      </c>
      <c r="C21" s="180" t="s">
        <v>136</v>
      </c>
      <c r="D21" s="180" t="s">
        <v>541</v>
      </c>
      <c r="E21" s="181">
        <v>44806</v>
      </c>
      <c r="F21" s="182">
        <v>62929</v>
      </c>
      <c r="G21" s="180" t="s">
        <v>502</v>
      </c>
      <c r="H21" s="182">
        <f t="shared" si="0"/>
        <v>47007.4</v>
      </c>
      <c r="I21" s="185">
        <f t="shared" si="1"/>
        <v>45382</v>
      </c>
      <c r="J21" s="186" t="str">
        <f t="shared" ca="1" si="2"/>
        <v>אנא פנה בדחיפות לחברה</v>
      </c>
      <c r="K21" s="187">
        <f>H21/'עיצוב מותנה'!$F$53</f>
        <v>13430.685714285715</v>
      </c>
      <c r="L21" s="220"/>
      <c r="M21" s="220"/>
      <c r="N21" s="223"/>
      <c r="O21" s="220"/>
      <c r="P21" s="220" t="s">
        <v>509</v>
      </c>
      <c r="Q21" s="220" t="s">
        <v>491</v>
      </c>
      <c r="R21" s="220"/>
      <c r="S21" s="220"/>
      <c r="T21" s="220"/>
      <c r="U21" s="220"/>
    </row>
    <row r="22" spans="1:21" x14ac:dyDescent="0.3">
      <c r="A22" s="180">
        <v>4149</v>
      </c>
      <c r="B22" s="180" t="s">
        <v>527</v>
      </c>
      <c r="C22" s="180" t="s">
        <v>542</v>
      </c>
      <c r="D22" s="180" t="s">
        <v>537</v>
      </c>
      <c r="E22" s="181">
        <v>43748</v>
      </c>
      <c r="F22" s="182">
        <v>46340</v>
      </c>
      <c r="G22" s="180" t="s">
        <v>484</v>
      </c>
      <c r="H22" s="182">
        <f t="shared" si="0"/>
        <v>37054</v>
      </c>
      <c r="I22" s="185">
        <f t="shared" si="1"/>
        <v>44316</v>
      </c>
      <c r="J22" s="186" t="str">
        <f t="shared" ca="1" si="2"/>
        <v>אנא פנה בדחיפות לחברה</v>
      </c>
      <c r="K22" s="187">
        <f>H22/'עיצוב מותנה'!$F$53</f>
        <v>10586.857142857143</v>
      </c>
      <c r="L22" s="220"/>
      <c r="M22" s="220"/>
      <c r="N22" s="223"/>
      <c r="O22" s="220"/>
      <c r="P22" s="220" t="s">
        <v>529</v>
      </c>
      <c r="Q22" s="220" t="s">
        <v>495</v>
      </c>
      <c r="R22" s="220"/>
      <c r="S22" s="220"/>
      <c r="T22" s="220"/>
      <c r="U22" s="220"/>
    </row>
    <row r="23" spans="1:21" x14ac:dyDescent="0.3">
      <c r="A23" s="180">
        <v>8583</v>
      </c>
      <c r="B23" s="180" t="s">
        <v>543</v>
      </c>
      <c r="C23" s="180" t="s">
        <v>544</v>
      </c>
      <c r="D23" s="180" t="s">
        <v>545</v>
      </c>
      <c r="E23" s="181">
        <v>44162</v>
      </c>
      <c r="F23" s="182">
        <v>40406</v>
      </c>
      <c r="G23" s="180" t="s">
        <v>495</v>
      </c>
      <c r="H23" s="182">
        <f t="shared" si="0"/>
        <v>33493.599999999999</v>
      </c>
      <c r="I23" s="185">
        <f t="shared" si="1"/>
        <v>44712</v>
      </c>
      <c r="J23" s="186" t="str">
        <f t="shared" ca="1" si="2"/>
        <v>אנא פנה בדחיפות לחברה</v>
      </c>
      <c r="K23" s="187">
        <f>H23/'עיצוב מותנה'!$F$53</f>
        <v>9569.6</v>
      </c>
      <c r="L23" s="220"/>
      <c r="M23" s="220"/>
      <c r="N23" s="223"/>
      <c r="O23" s="220"/>
      <c r="P23" s="220" t="s">
        <v>546</v>
      </c>
      <c r="Q23" s="220" t="s">
        <v>495</v>
      </c>
      <c r="R23" s="220"/>
      <c r="S23" s="220"/>
      <c r="T23" s="220"/>
      <c r="U23" s="220"/>
    </row>
    <row r="24" spans="1:21" x14ac:dyDescent="0.3">
      <c r="A24" s="180">
        <v>3322</v>
      </c>
      <c r="B24" s="180" t="s">
        <v>155</v>
      </c>
      <c r="C24" s="180" t="s">
        <v>547</v>
      </c>
      <c r="D24" s="180" t="s">
        <v>548</v>
      </c>
      <c r="E24" s="181">
        <v>44421</v>
      </c>
      <c r="F24" s="182">
        <v>93981</v>
      </c>
      <c r="G24" s="180" t="s">
        <v>495</v>
      </c>
      <c r="H24" s="182">
        <f t="shared" si="0"/>
        <v>65638.600000000006</v>
      </c>
      <c r="I24" s="185">
        <f t="shared" si="1"/>
        <v>44985</v>
      </c>
      <c r="J24" s="186" t="str">
        <f t="shared" ca="1" si="2"/>
        <v>אנא פנה בדחיפות לחברה</v>
      </c>
      <c r="K24" s="187">
        <f>H24/'עיצוב מותנה'!$F$53</f>
        <v>18753.885714285716</v>
      </c>
      <c r="L24" s="220"/>
      <c r="M24" s="220"/>
      <c r="N24" s="223"/>
      <c r="O24" s="220"/>
      <c r="P24" s="220"/>
      <c r="Q24" s="220"/>
      <c r="R24" s="220"/>
      <c r="S24" s="220"/>
      <c r="T24" s="220"/>
      <c r="U24" s="220"/>
    </row>
    <row r="25" spans="1:21" x14ac:dyDescent="0.3">
      <c r="A25" s="180">
        <v>5639</v>
      </c>
      <c r="B25" s="180" t="s">
        <v>549</v>
      </c>
      <c r="C25" s="180" t="s">
        <v>550</v>
      </c>
      <c r="D25" s="180" t="s">
        <v>551</v>
      </c>
      <c r="E25" s="181">
        <v>44086</v>
      </c>
      <c r="F25" s="182">
        <v>34298</v>
      </c>
      <c r="G25" s="180" t="s">
        <v>502</v>
      </c>
      <c r="H25" s="182">
        <f t="shared" si="0"/>
        <v>29508.6</v>
      </c>
      <c r="I25" s="185">
        <f t="shared" si="1"/>
        <v>44651</v>
      </c>
      <c r="J25" s="186" t="str">
        <f t="shared" ca="1" si="2"/>
        <v>אנא פנה בדחיפות לחברה</v>
      </c>
      <c r="K25" s="187">
        <f>H25/'עיצוב מותנה'!$F$53</f>
        <v>8431.028571428571</v>
      </c>
      <c r="L25" s="220"/>
      <c r="M25" s="220"/>
      <c r="N25" s="223"/>
      <c r="O25" s="220"/>
      <c r="P25" s="220"/>
      <c r="Q25" s="220"/>
      <c r="R25" s="220"/>
      <c r="S25" s="220"/>
      <c r="T25" s="220"/>
      <c r="U25" s="220"/>
    </row>
    <row r="26" spans="1:21" x14ac:dyDescent="0.3">
      <c r="A26" s="180">
        <v>6931</v>
      </c>
      <c r="B26" s="180" t="s">
        <v>552</v>
      </c>
      <c r="C26" s="180" t="s">
        <v>553</v>
      </c>
      <c r="D26" s="180" t="s">
        <v>554</v>
      </c>
      <c r="E26" s="181">
        <v>44716</v>
      </c>
      <c r="F26" s="182">
        <v>34974</v>
      </c>
      <c r="G26" s="180" t="s">
        <v>555</v>
      </c>
      <c r="H26" s="182">
        <f t="shared" si="0"/>
        <v>29981.8</v>
      </c>
      <c r="I26" s="185">
        <f t="shared" si="1"/>
        <v>45291</v>
      </c>
      <c r="J26" s="186" t="str">
        <f t="shared" ca="1" si="2"/>
        <v>אנא פנה בדחיפות לחברה</v>
      </c>
      <c r="K26" s="187">
        <f>H26/'עיצוב מותנה'!$F$53</f>
        <v>8566.2285714285717</v>
      </c>
      <c r="L26" s="220"/>
      <c r="M26" s="220"/>
      <c r="N26" s="223"/>
      <c r="O26" s="220"/>
      <c r="P26" s="219" t="s">
        <v>476</v>
      </c>
      <c r="Q26" s="219" t="s">
        <v>475</v>
      </c>
      <c r="R26" s="220"/>
      <c r="S26" s="220"/>
      <c r="T26" s="220"/>
      <c r="U26" s="220"/>
    </row>
    <row r="27" spans="1:21" x14ac:dyDescent="0.3">
      <c r="A27" s="180">
        <v>1100</v>
      </c>
      <c r="B27" s="180" t="s">
        <v>556</v>
      </c>
      <c r="C27" s="180" t="s">
        <v>557</v>
      </c>
      <c r="D27" s="180" t="s">
        <v>498</v>
      </c>
      <c r="E27" s="181">
        <v>43776</v>
      </c>
      <c r="F27" s="182">
        <v>37460</v>
      </c>
      <c r="G27" s="180" t="s">
        <v>484</v>
      </c>
      <c r="H27" s="182">
        <f t="shared" si="0"/>
        <v>31599</v>
      </c>
      <c r="I27" s="185">
        <f t="shared" si="1"/>
        <v>44347</v>
      </c>
      <c r="J27" s="186" t="str">
        <f t="shared" ca="1" si="2"/>
        <v>אנא פנה בדחיפות לחברה</v>
      </c>
      <c r="K27" s="187">
        <f>H27/'עיצוב מותנה'!$F$53</f>
        <v>9028.2857142857138</v>
      </c>
      <c r="L27" s="220"/>
      <c r="M27" s="220"/>
      <c r="N27" s="223"/>
      <c r="O27" s="220"/>
      <c r="P27" s="220" t="s">
        <v>558</v>
      </c>
      <c r="Q27" s="220"/>
      <c r="R27" s="220"/>
      <c r="S27" s="220"/>
      <c r="T27" s="220"/>
      <c r="U27" s="220"/>
    </row>
    <row r="28" spans="1:21" x14ac:dyDescent="0.3">
      <c r="A28" s="180">
        <v>8716</v>
      </c>
      <c r="B28" s="180" t="s">
        <v>559</v>
      </c>
      <c r="C28" s="180" t="s">
        <v>560</v>
      </c>
      <c r="D28" s="180" t="s">
        <v>561</v>
      </c>
      <c r="E28" s="181">
        <v>44648</v>
      </c>
      <c r="F28" s="182">
        <v>91972</v>
      </c>
      <c r="G28" s="180" t="s">
        <v>484</v>
      </c>
      <c r="H28" s="182">
        <f t="shared" si="0"/>
        <v>64433.2</v>
      </c>
      <c r="I28" s="185">
        <f t="shared" si="1"/>
        <v>45199</v>
      </c>
      <c r="J28" s="186" t="str">
        <f t="shared" ca="1" si="2"/>
        <v>אנא פנה בדחיפות לחברה</v>
      </c>
      <c r="K28" s="187">
        <f>H28/'עיצוב מותנה'!$F$53</f>
        <v>18409.485714285714</v>
      </c>
      <c r="L28" s="220"/>
      <c r="M28" s="220"/>
      <c r="N28" s="223"/>
      <c r="O28" s="220"/>
      <c r="P28" s="220"/>
      <c r="Q28" s="220" t="s">
        <v>532</v>
      </c>
      <c r="R28" s="220"/>
      <c r="S28" s="220"/>
      <c r="T28" s="220"/>
      <c r="U28" s="220"/>
    </row>
    <row r="29" spans="1:21" x14ac:dyDescent="0.3">
      <c r="A29" s="180">
        <v>2100</v>
      </c>
      <c r="B29" s="180" t="s">
        <v>288</v>
      </c>
      <c r="C29" s="180" t="s">
        <v>562</v>
      </c>
      <c r="D29" s="180" t="s">
        <v>563</v>
      </c>
      <c r="E29" s="181">
        <v>44529</v>
      </c>
      <c r="F29" s="182">
        <v>45647</v>
      </c>
      <c r="G29" s="180" t="s">
        <v>502</v>
      </c>
      <c r="H29" s="182">
        <f t="shared" si="0"/>
        <v>36638.199999999997</v>
      </c>
      <c r="I29" s="185">
        <f t="shared" si="1"/>
        <v>45077</v>
      </c>
      <c r="J29" s="186" t="str">
        <f t="shared" ca="1" si="2"/>
        <v>אנא פנה בדחיפות לחברה</v>
      </c>
      <c r="K29" s="187">
        <f>H29/'עיצוב מותנה'!$F$53</f>
        <v>10468.057142857142</v>
      </c>
      <c r="L29" s="220"/>
      <c r="M29" s="220"/>
      <c r="N29" s="223"/>
      <c r="O29" s="220"/>
      <c r="P29" s="220"/>
      <c r="Q29" s="220" t="s">
        <v>537</v>
      </c>
      <c r="R29" s="220"/>
      <c r="S29" s="220"/>
      <c r="T29" s="220"/>
      <c r="U29" s="220"/>
    </row>
    <row r="30" spans="1:21" x14ac:dyDescent="0.3">
      <c r="A30" s="180">
        <v>2557</v>
      </c>
      <c r="B30" s="180" t="s">
        <v>564</v>
      </c>
      <c r="C30" s="180" t="s">
        <v>235</v>
      </c>
      <c r="D30" s="180" t="s">
        <v>565</v>
      </c>
      <c r="E30" s="181">
        <v>44724</v>
      </c>
      <c r="F30" s="182">
        <v>38276</v>
      </c>
      <c r="G30" s="180" t="s">
        <v>491</v>
      </c>
      <c r="H30" s="182">
        <f t="shared" si="0"/>
        <v>32129.4</v>
      </c>
      <c r="I30" s="185">
        <f t="shared" si="1"/>
        <v>45291</v>
      </c>
      <c r="J30" s="186" t="str">
        <f t="shared" ca="1" si="2"/>
        <v>אנא פנה בדחיפות לחברה</v>
      </c>
      <c r="K30" s="187">
        <f>H30/'עיצוב מותנה'!$F$53</f>
        <v>9179.8285714285721</v>
      </c>
      <c r="L30" s="220"/>
      <c r="M30" s="220"/>
      <c r="N30" s="223"/>
      <c r="O30" s="220"/>
      <c r="P30" s="220"/>
      <c r="Q30" s="220" t="s">
        <v>563</v>
      </c>
      <c r="R30" s="220"/>
      <c r="S30" s="220"/>
      <c r="T30" s="220"/>
      <c r="U30" s="220"/>
    </row>
    <row r="31" spans="1:21" x14ac:dyDescent="0.3">
      <c r="A31" s="180">
        <v>8177</v>
      </c>
      <c r="B31" s="180" t="s">
        <v>566</v>
      </c>
      <c r="C31" s="180" t="s">
        <v>567</v>
      </c>
      <c r="D31" s="180" t="s">
        <v>568</v>
      </c>
      <c r="E31" s="181">
        <v>43873</v>
      </c>
      <c r="F31" s="182">
        <v>71095</v>
      </c>
      <c r="G31" s="180" t="s">
        <v>491</v>
      </c>
      <c r="H31" s="182">
        <f t="shared" si="0"/>
        <v>51907</v>
      </c>
      <c r="I31" s="185">
        <f t="shared" si="1"/>
        <v>44439</v>
      </c>
      <c r="J31" s="186" t="str">
        <f t="shared" ca="1" si="2"/>
        <v>אנא פנה בדחיפות לחברה</v>
      </c>
      <c r="K31" s="187">
        <f>H31/'עיצוב מותנה'!$F$53</f>
        <v>14830.571428571429</v>
      </c>
      <c r="L31" s="220"/>
      <c r="M31" s="220"/>
      <c r="N31" s="223"/>
      <c r="O31" s="220"/>
      <c r="P31" s="220"/>
      <c r="Q31" s="220"/>
      <c r="R31" s="220"/>
      <c r="S31" s="220"/>
      <c r="T31" s="220"/>
      <c r="U31" s="220"/>
    </row>
    <row r="32" spans="1:21" x14ac:dyDescent="0.3">
      <c r="A32" s="180">
        <v>9043</v>
      </c>
      <c r="B32" s="180" t="s">
        <v>569</v>
      </c>
      <c r="C32" s="180" t="s">
        <v>570</v>
      </c>
      <c r="D32" s="180" t="s">
        <v>546</v>
      </c>
      <c r="E32" s="181">
        <v>45039</v>
      </c>
      <c r="F32" s="182">
        <v>35185</v>
      </c>
      <c r="G32" s="180" t="s">
        <v>495</v>
      </c>
      <c r="H32" s="182">
        <f t="shared" si="0"/>
        <v>30120.25</v>
      </c>
      <c r="I32" s="185">
        <f t="shared" si="1"/>
        <v>45596</v>
      </c>
      <c r="J32" s="186" t="str">
        <f t="shared" ca="1" si="2"/>
        <v>אנא פנה בדחיפות לחברה</v>
      </c>
      <c r="K32" s="187">
        <f>H32/'עיצוב מותנה'!$F$53</f>
        <v>8605.7857142857138</v>
      </c>
      <c r="L32" s="220"/>
      <c r="M32" s="220"/>
      <c r="N32" s="223" t="s">
        <v>571</v>
      </c>
      <c r="O32" s="220"/>
      <c r="P32" s="220"/>
      <c r="Q32" s="224">
        <f>DSUM($A$1:$J$51,H1,$P$26:$Q$30)</f>
        <v>1414550.4</v>
      </c>
      <c r="R32" s="220"/>
      <c r="S32" s="220"/>
      <c r="T32" s="220"/>
      <c r="U32" s="220"/>
    </row>
    <row r="33" spans="1:21" x14ac:dyDescent="0.3">
      <c r="A33" s="180">
        <v>2940</v>
      </c>
      <c r="B33" s="180" t="s">
        <v>572</v>
      </c>
      <c r="C33" s="180" t="s">
        <v>573</v>
      </c>
      <c r="D33" s="180" t="s">
        <v>574</v>
      </c>
      <c r="E33" s="181">
        <v>44814</v>
      </c>
      <c r="F33" s="182">
        <v>34103</v>
      </c>
      <c r="G33" s="180" t="s">
        <v>484</v>
      </c>
      <c r="H33" s="182">
        <f t="shared" si="0"/>
        <v>29372.1</v>
      </c>
      <c r="I33" s="185">
        <f t="shared" si="1"/>
        <v>45382</v>
      </c>
      <c r="J33" s="186" t="str">
        <f t="shared" ca="1" si="2"/>
        <v>אנא פנה בדחיפות לחברה</v>
      </c>
      <c r="K33" s="187">
        <f>H33/'עיצוב מותנה'!$F$53</f>
        <v>8392.028571428571</v>
      </c>
      <c r="L33" s="220"/>
      <c r="M33" s="220"/>
      <c r="N33" s="223" t="s">
        <v>575</v>
      </c>
      <c r="O33" s="220"/>
      <c r="P33" s="220"/>
      <c r="Q33" s="224">
        <f>DCOUNT($A$1:$J$51,A1,$P$26:$Q$30)</f>
        <v>34</v>
      </c>
      <c r="R33" s="220"/>
      <c r="S33" s="220"/>
      <c r="T33" s="220"/>
      <c r="U33" s="220"/>
    </row>
    <row r="34" spans="1:21" x14ac:dyDescent="0.3">
      <c r="A34" s="180">
        <v>6325</v>
      </c>
      <c r="B34" s="180" t="s">
        <v>566</v>
      </c>
      <c r="C34" s="180" t="s">
        <v>576</v>
      </c>
      <c r="D34" s="180" t="s">
        <v>577</v>
      </c>
      <c r="E34" s="181">
        <v>44994</v>
      </c>
      <c r="F34" s="182">
        <v>33853</v>
      </c>
      <c r="G34" s="180" t="s">
        <v>502</v>
      </c>
      <c r="H34" s="182">
        <f t="shared" si="0"/>
        <v>29197.1</v>
      </c>
      <c r="I34" s="185">
        <f t="shared" si="1"/>
        <v>45565</v>
      </c>
      <c r="J34" s="186" t="str">
        <f t="shared" ca="1" si="2"/>
        <v>אנא פנה בדחיפות לחברה</v>
      </c>
      <c r="K34" s="187">
        <f>H34/'עיצוב מותנה'!$F$53</f>
        <v>8342.028571428571</v>
      </c>
      <c r="L34" s="220"/>
      <c r="M34" s="220"/>
      <c r="N34" s="223"/>
      <c r="O34" s="220"/>
      <c r="P34" s="220"/>
      <c r="Q34" s="220"/>
      <c r="R34" s="220"/>
      <c r="S34" s="220"/>
      <c r="T34" s="220"/>
      <c r="U34" s="220"/>
    </row>
    <row r="35" spans="1:21" x14ac:dyDescent="0.3">
      <c r="A35" s="180">
        <v>3363</v>
      </c>
      <c r="B35" s="180" t="s">
        <v>503</v>
      </c>
      <c r="C35" s="180" t="s">
        <v>578</v>
      </c>
      <c r="D35" s="180" t="s">
        <v>579</v>
      </c>
      <c r="E35" s="181">
        <v>44300</v>
      </c>
      <c r="F35" s="182">
        <v>17796</v>
      </c>
      <c r="G35" s="180" t="s">
        <v>555</v>
      </c>
      <c r="H35" s="182">
        <f t="shared" si="0"/>
        <v>16876.599999999999</v>
      </c>
      <c r="I35" s="185">
        <f t="shared" si="1"/>
        <v>44865</v>
      </c>
      <c r="J35" s="186" t="str">
        <f t="shared" ca="1" si="2"/>
        <v>אנא פנה בדחיפות לחברה</v>
      </c>
      <c r="K35" s="187">
        <f>H35/'עיצוב מותנה'!$F$53</f>
        <v>4821.8857142857141</v>
      </c>
      <c r="L35" s="220"/>
      <c r="M35" s="220"/>
      <c r="N35" s="220"/>
      <c r="O35" s="220"/>
      <c r="P35" s="220"/>
      <c r="Q35" s="220"/>
      <c r="R35" s="220"/>
      <c r="S35" s="220"/>
      <c r="T35" s="220"/>
      <c r="U35" s="220"/>
    </row>
    <row r="36" spans="1:21" x14ac:dyDescent="0.3">
      <c r="A36" s="180">
        <v>9371</v>
      </c>
      <c r="B36" s="180" t="s">
        <v>580</v>
      </c>
      <c r="C36" s="180" t="s">
        <v>581</v>
      </c>
      <c r="D36" s="180" t="s">
        <v>582</v>
      </c>
      <c r="E36" s="181">
        <v>44047</v>
      </c>
      <c r="F36" s="182">
        <v>67184</v>
      </c>
      <c r="G36" s="180" t="s">
        <v>495</v>
      </c>
      <c r="H36" s="182">
        <f t="shared" si="0"/>
        <v>49560.4</v>
      </c>
      <c r="I36" s="185">
        <f t="shared" si="1"/>
        <v>44620</v>
      </c>
      <c r="J36" s="186" t="str">
        <f t="shared" ca="1" si="2"/>
        <v>אנא פנה בדחיפות לחברה</v>
      </c>
      <c r="K36" s="187">
        <f>H36/'עיצוב מותנה'!$F$53</f>
        <v>14160.114285714286</v>
      </c>
      <c r="L36" s="220"/>
      <c r="M36" s="220"/>
      <c r="N36" s="223"/>
      <c r="O36" s="220"/>
      <c r="P36" s="220" t="s">
        <v>475</v>
      </c>
      <c r="Q36" s="220"/>
      <c r="R36" s="220"/>
      <c r="S36" s="220"/>
      <c r="T36" s="220"/>
      <c r="U36" s="220"/>
    </row>
    <row r="37" spans="1:21" x14ac:dyDescent="0.3">
      <c r="A37" s="180">
        <v>6909</v>
      </c>
      <c r="B37" s="180" t="s">
        <v>583</v>
      </c>
      <c r="C37" s="180" t="s">
        <v>584</v>
      </c>
      <c r="D37" s="180" t="s">
        <v>585</v>
      </c>
      <c r="E37" s="181">
        <v>45005</v>
      </c>
      <c r="F37" s="182">
        <v>25505</v>
      </c>
      <c r="G37" s="180" t="s">
        <v>555</v>
      </c>
      <c r="H37" s="182">
        <f t="shared" si="0"/>
        <v>23128.75</v>
      </c>
      <c r="I37" s="185">
        <f t="shared" si="1"/>
        <v>45565</v>
      </c>
      <c r="J37" s="186" t="str">
        <f t="shared" ca="1" si="2"/>
        <v>אנא פנה בדחיפות לחברה</v>
      </c>
      <c r="K37" s="187">
        <f>H37/'עיצוב מותנה'!$F$53</f>
        <v>6608.2142857142853</v>
      </c>
      <c r="L37" s="220"/>
      <c r="M37" s="220"/>
      <c r="N37" s="223"/>
      <c r="O37" s="220"/>
      <c r="P37" s="220" t="s">
        <v>512</v>
      </c>
      <c r="Q37" s="220"/>
      <c r="R37" s="220"/>
      <c r="S37" s="220"/>
      <c r="T37" s="220"/>
      <c r="U37" s="220"/>
    </row>
    <row r="38" spans="1:21" x14ac:dyDescent="0.3">
      <c r="A38" s="180">
        <v>4367</v>
      </c>
      <c r="B38" s="180" t="s">
        <v>564</v>
      </c>
      <c r="C38" s="180" t="s">
        <v>138</v>
      </c>
      <c r="D38" s="180" t="s">
        <v>586</v>
      </c>
      <c r="E38" s="181">
        <v>45540</v>
      </c>
      <c r="F38" s="182">
        <v>32359</v>
      </c>
      <c r="G38" s="180" t="s">
        <v>484</v>
      </c>
      <c r="H38" s="182">
        <f t="shared" si="0"/>
        <v>28151.3</v>
      </c>
      <c r="I38" s="185">
        <f t="shared" si="1"/>
        <v>46112</v>
      </c>
      <c r="J38" s="186" t="str">
        <f t="shared" ca="1" si="2"/>
        <v>יום שלישי</v>
      </c>
      <c r="K38" s="187">
        <f>H38/'עיצוב מותנה'!$F$53</f>
        <v>8043.2285714285708</v>
      </c>
      <c r="L38" s="220"/>
      <c r="M38" s="220"/>
      <c r="N38" s="223"/>
      <c r="O38" s="220"/>
      <c r="P38" s="220" t="s">
        <v>561</v>
      </c>
      <c r="Q38" s="220"/>
      <c r="R38" s="220"/>
      <c r="S38" s="220"/>
      <c r="T38" s="220"/>
      <c r="U38" s="220"/>
    </row>
    <row r="39" spans="1:21" x14ac:dyDescent="0.3">
      <c r="A39" s="180">
        <v>8192</v>
      </c>
      <c r="B39" s="180" t="s">
        <v>250</v>
      </c>
      <c r="C39" s="180" t="s">
        <v>587</v>
      </c>
      <c r="D39" s="180" t="s">
        <v>509</v>
      </c>
      <c r="E39" s="181">
        <v>45488</v>
      </c>
      <c r="F39" s="182">
        <v>71321</v>
      </c>
      <c r="G39" s="180" t="s">
        <v>491</v>
      </c>
      <c r="H39" s="182">
        <f t="shared" si="0"/>
        <v>52042.6</v>
      </c>
      <c r="I39" s="185">
        <f t="shared" si="1"/>
        <v>46053</v>
      </c>
      <c r="J39" s="186" t="str">
        <f t="shared" ca="1" si="2"/>
        <v>שבת</v>
      </c>
      <c r="K39" s="187">
        <f>H39/'עיצוב מותנה'!$F$53</f>
        <v>14869.314285714285</v>
      </c>
      <c r="L39" s="220"/>
      <c r="M39" s="220"/>
      <c r="N39" s="223"/>
      <c r="O39" s="220"/>
      <c r="P39" s="220" t="s">
        <v>494</v>
      </c>
      <c r="Q39" s="220"/>
      <c r="R39" s="220"/>
      <c r="S39" s="220"/>
      <c r="T39" s="220"/>
      <c r="U39" s="220"/>
    </row>
    <row r="40" spans="1:21" x14ac:dyDescent="0.3">
      <c r="A40" s="180">
        <v>8345</v>
      </c>
      <c r="B40" s="180" t="s">
        <v>556</v>
      </c>
      <c r="C40" s="180" t="s">
        <v>588</v>
      </c>
      <c r="D40" s="180" t="s">
        <v>509</v>
      </c>
      <c r="E40" s="181">
        <v>45171</v>
      </c>
      <c r="F40" s="182">
        <v>81110</v>
      </c>
      <c r="G40" s="180" t="s">
        <v>491</v>
      </c>
      <c r="H40" s="182">
        <f t="shared" si="0"/>
        <v>57916</v>
      </c>
      <c r="I40" s="185">
        <f t="shared" si="1"/>
        <v>45747</v>
      </c>
      <c r="J40" s="186" t="str">
        <f t="shared" ca="1" si="2"/>
        <v>אנא פנה בדחיפות לחברה</v>
      </c>
      <c r="K40" s="187">
        <f>H40/'עיצוב מותנה'!$F$53</f>
        <v>16547.428571428572</v>
      </c>
      <c r="L40" s="220"/>
      <c r="M40" s="220"/>
      <c r="N40" s="223"/>
      <c r="O40" s="220"/>
      <c r="P40" s="220" t="s">
        <v>214</v>
      </c>
      <c r="Q40" s="220"/>
      <c r="R40" s="220"/>
      <c r="S40" s="220"/>
      <c r="T40" s="220"/>
      <c r="U40" s="220"/>
    </row>
    <row r="41" spans="1:21" x14ac:dyDescent="0.3">
      <c r="A41" s="180">
        <v>4957</v>
      </c>
      <c r="B41" s="180" t="s">
        <v>589</v>
      </c>
      <c r="C41" s="180" t="s">
        <v>143</v>
      </c>
      <c r="D41" s="180" t="s">
        <v>563</v>
      </c>
      <c r="E41" s="181">
        <v>44581</v>
      </c>
      <c r="F41" s="182">
        <v>66042</v>
      </c>
      <c r="G41" s="180" t="s">
        <v>555</v>
      </c>
      <c r="H41" s="182">
        <f t="shared" si="0"/>
        <v>48875.199999999997</v>
      </c>
      <c r="I41" s="185">
        <f t="shared" si="1"/>
        <v>45138</v>
      </c>
      <c r="J41" s="186" t="str">
        <f t="shared" ca="1" si="2"/>
        <v>אנא פנה בדחיפות לחברה</v>
      </c>
      <c r="K41" s="187">
        <f>H41/'עיצוב מותנה'!$F$53</f>
        <v>13964.342857142856</v>
      </c>
      <c r="L41" s="220"/>
      <c r="M41" s="220"/>
      <c r="N41" s="223"/>
      <c r="O41" s="220"/>
      <c r="P41" s="220"/>
      <c r="Q41" s="220"/>
      <c r="R41" s="220"/>
      <c r="S41" s="220"/>
      <c r="T41" s="220"/>
      <c r="U41" s="220"/>
    </row>
    <row r="42" spans="1:21" x14ac:dyDescent="0.3">
      <c r="A42" s="180">
        <v>4884</v>
      </c>
      <c r="B42" s="180" t="s">
        <v>590</v>
      </c>
      <c r="C42" s="180" t="s">
        <v>591</v>
      </c>
      <c r="D42" s="180" t="s">
        <v>561</v>
      </c>
      <c r="E42" s="181">
        <v>44873</v>
      </c>
      <c r="F42" s="182">
        <v>95922</v>
      </c>
      <c r="G42" s="180" t="s">
        <v>484</v>
      </c>
      <c r="H42" s="182">
        <f t="shared" si="0"/>
        <v>66803.199999999997</v>
      </c>
      <c r="I42" s="185">
        <f t="shared" si="1"/>
        <v>45443</v>
      </c>
      <c r="J42" s="186" t="str">
        <f t="shared" ca="1" si="2"/>
        <v>אנא פנה בדחיפות לחברה</v>
      </c>
      <c r="K42" s="187">
        <f>H42/'עיצוב מותנה'!$F$53</f>
        <v>19086.62857142857</v>
      </c>
      <c r="L42" s="220"/>
      <c r="M42" s="220"/>
      <c r="N42" s="221" t="s">
        <v>592</v>
      </c>
      <c r="O42" s="220"/>
      <c r="P42" s="220"/>
      <c r="Q42" s="220"/>
      <c r="R42" s="225">
        <f>DSUM(A1:K51,K1,P36:P40)</f>
        <v>75537.757142857139</v>
      </c>
      <c r="S42" s="220"/>
      <c r="T42" s="220"/>
      <c r="U42" s="220"/>
    </row>
    <row r="43" spans="1:21" x14ac:dyDescent="0.3">
      <c r="A43" s="180">
        <v>2962</v>
      </c>
      <c r="B43" s="180" t="s">
        <v>593</v>
      </c>
      <c r="C43" s="180" t="s">
        <v>594</v>
      </c>
      <c r="D43" s="180" t="s">
        <v>554</v>
      </c>
      <c r="E43" s="181">
        <v>45188</v>
      </c>
      <c r="F43" s="182">
        <v>34222</v>
      </c>
      <c r="G43" s="180" t="s">
        <v>555</v>
      </c>
      <c r="H43" s="182">
        <f t="shared" si="0"/>
        <v>29455.4</v>
      </c>
      <c r="I43" s="185">
        <f t="shared" si="1"/>
        <v>45747</v>
      </c>
      <c r="J43" s="186" t="str">
        <f t="shared" ca="1" si="2"/>
        <v>אנא פנה בדחיפות לחברה</v>
      </c>
      <c r="K43" s="187">
        <f>H43/'עיצוב מותנה'!$F$53</f>
        <v>8415.8285714285721</v>
      </c>
      <c r="L43" s="220"/>
      <c r="M43" s="220"/>
      <c r="N43" s="223"/>
      <c r="O43" s="220"/>
      <c r="P43" s="220"/>
      <c r="Q43" s="220">
        <v>3.5</v>
      </c>
      <c r="R43" s="225">
        <f t="dataTable" ref="R43:R49" dt2D="0" dtr="0" r1="F53"/>
        <v>75537.757142857139</v>
      </c>
      <c r="S43" s="220"/>
      <c r="T43" s="220"/>
      <c r="U43" s="220"/>
    </row>
    <row r="44" spans="1:21" x14ac:dyDescent="0.3">
      <c r="A44" s="180">
        <v>6595</v>
      </c>
      <c r="B44" s="180" t="s">
        <v>496</v>
      </c>
      <c r="C44" s="180" t="s">
        <v>595</v>
      </c>
      <c r="D44" s="180" t="s">
        <v>596</v>
      </c>
      <c r="E44" s="181">
        <v>43737</v>
      </c>
      <c r="F44" s="182">
        <v>72678</v>
      </c>
      <c r="G44" s="180" t="s">
        <v>502</v>
      </c>
      <c r="H44" s="182">
        <f t="shared" si="0"/>
        <v>52856.800000000003</v>
      </c>
      <c r="I44" s="185">
        <f t="shared" si="1"/>
        <v>44286</v>
      </c>
      <c r="J44" s="186" t="str">
        <f t="shared" ca="1" si="2"/>
        <v>אנא פנה בדחיפות לחברה</v>
      </c>
      <c r="K44" s="187">
        <f>H44/'עיצוב מותנה'!$F$53</f>
        <v>15101.942857142858</v>
      </c>
      <c r="L44" s="220"/>
      <c r="M44" s="220"/>
      <c r="N44" s="223"/>
      <c r="O44" s="220"/>
      <c r="P44" s="220"/>
      <c r="Q44" s="220">
        <v>3.55</v>
      </c>
      <c r="R44" s="225">
        <v>74473.84507042254</v>
      </c>
      <c r="S44" s="220"/>
      <c r="T44" s="220"/>
      <c r="U44" s="220"/>
    </row>
    <row r="45" spans="1:21" x14ac:dyDescent="0.3">
      <c r="A45" s="180">
        <v>6311</v>
      </c>
      <c r="B45" s="180" t="s">
        <v>597</v>
      </c>
      <c r="C45" s="180" t="s">
        <v>598</v>
      </c>
      <c r="D45" s="180" t="s">
        <v>504</v>
      </c>
      <c r="E45" s="181">
        <v>45480</v>
      </c>
      <c r="F45" s="182">
        <v>79903</v>
      </c>
      <c r="G45" s="180" t="s">
        <v>484</v>
      </c>
      <c r="H45" s="182">
        <f t="shared" si="0"/>
        <v>57191.8</v>
      </c>
      <c r="I45" s="185">
        <f t="shared" si="1"/>
        <v>46053</v>
      </c>
      <c r="J45" s="186" t="str">
        <f t="shared" ca="1" si="2"/>
        <v>שבת</v>
      </c>
      <c r="K45" s="187">
        <f>H45/'עיצוב מותנה'!$F$53</f>
        <v>16340.514285714287</v>
      </c>
      <c r="L45" s="220"/>
      <c r="M45" s="220"/>
      <c r="N45" s="223"/>
      <c r="O45" s="220"/>
      <c r="P45" s="220"/>
      <c r="Q45" s="220">
        <v>3.6</v>
      </c>
      <c r="R45" s="225">
        <v>73439.486111111109</v>
      </c>
      <c r="S45" s="220"/>
      <c r="T45" s="220"/>
      <c r="U45" s="220"/>
    </row>
    <row r="46" spans="1:21" x14ac:dyDescent="0.3">
      <c r="A46" s="180">
        <v>8473</v>
      </c>
      <c r="B46" s="180" t="s">
        <v>599</v>
      </c>
      <c r="C46" s="180" t="s">
        <v>148</v>
      </c>
      <c r="D46" s="180" t="s">
        <v>483</v>
      </c>
      <c r="E46" s="181">
        <v>45364</v>
      </c>
      <c r="F46" s="182">
        <v>69665</v>
      </c>
      <c r="G46" s="180" t="s">
        <v>491</v>
      </c>
      <c r="H46" s="182">
        <f t="shared" si="0"/>
        <v>51049</v>
      </c>
      <c r="I46" s="185">
        <f t="shared" si="1"/>
        <v>45930</v>
      </c>
      <c r="J46" s="186" t="str">
        <f t="shared" ca="1" si="2"/>
        <v>אנא פנה בדחיפות לחברה</v>
      </c>
      <c r="K46" s="187">
        <f>H46/'עיצוב מותנה'!$F$53</f>
        <v>14585.428571428571</v>
      </c>
      <c r="L46" s="220"/>
      <c r="M46" s="220"/>
      <c r="N46" s="223"/>
      <c r="O46" s="220"/>
      <c r="P46" s="220"/>
      <c r="Q46" s="220">
        <v>3.65</v>
      </c>
      <c r="R46" s="225">
        <v>72433.465753424651</v>
      </c>
      <c r="S46" s="220"/>
      <c r="T46" s="220"/>
      <c r="U46" s="220"/>
    </row>
    <row r="47" spans="1:21" x14ac:dyDescent="0.3">
      <c r="A47" s="180">
        <v>5117</v>
      </c>
      <c r="B47" s="180" t="s">
        <v>125</v>
      </c>
      <c r="C47" s="180" t="s">
        <v>525</v>
      </c>
      <c r="D47" s="180" t="s">
        <v>600</v>
      </c>
      <c r="E47" s="181">
        <v>44813</v>
      </c>
      <c r="F47" s="182">
        <v>42327</v>
      </c>
      <c r="G47" s="180" t="s">
        <v>484</v>
      </c>
      <c r="H47" s="182">
        <f t="shared" si="0"/>
        <v>34646.199999999997</v>
      </c>
      <c r="I47" s="185">
        <f t="shared" si="1"/>
        <v>45382</v>
      </c>
      <c r="J47" s="186" t="str">
        <f t="shared" ca="1" si="2"/>
        <v>אנא פנה בדחיפות לחברה</v>
      </c>
      <c r="K47" s="187">
        <f>H47/'עיצוב מותנה'!$F$53</f>
        <v>9898.9142857142851</v>
      </c>
      <c r="L47" s="220"/>
      <c r="M47" s="220"/>
      <c r="N47" s="220"/>
      <c r="O47" s="220"/>
      <c r="P47" s="220"/>
      <c r="Q47" s="220">
        <v>3.7</v>
      </c>
      <c r="R47" s="225">
        <v>71454.635135135133</v>
      </c>
      <c r="S47" s="220"/>
      <c r="T47" s="220"/>
      <c r="U47" s="220"/>
    </row>
    <row r="48" spans="1:21" x14ac:dyDescent="0.3">
      <c r="A48" s="180">
        <v>3786</v>
      </c>
      <c r="B48" s="180" t="s">
        <v>209</v>
      </c>
      <c r="C48" s="180" t="s">
        <v>138</v>
      </c>
      <c r="D48" s="180" t="s">
        <v>537</v>
      </c>
      <c r="E48" s="181">
        <v>44445</v>
      </c>
      <c r="F48" s="182">
        <v>40371</v>
      </c>
      <c r="G48" s="180" t="s">
        <v>502</v>
      </c>
      <c r="H48" s="182">
        <f t="shared" si="0"/>
        <v>33472.6</v>
      </c>
      <c r="I48" s="185">
        <f t="shared" si="1"/>
        <v>45016</v>
      </c>
      <c r="J48" s="186" t="str">
        <f t="shared" ca="1" si="2"/>
        <v>אנא פנה בדחיפות לחברה</v>
      </c>
      <c r="K48" s="187">
        <f>H48/'עיצוב מותנה'!$F$53</f>
        <v>9563.6</v>
      </c>
      <c r="L48" s="220"/>
      <c r="M48" s="220"/>
      <c r="N48" s="220"/>
      <c r="O48" s="220"/>
      <c r="P48" s="220"/>
      <c r="Q48" s="220">
        <v>3.75</v>
      </c>
      <c r="R48" s="225">
        <v>70501.906666666662</v>
      </c>
      <c r="S48" s="220"/>
      <c r="T48" s="220"/>
      <c r="U48" s="220"/>
    </row>
    <row r="49" spans="1:21" x14ac:dyDescent="0.3">
      <c r="A49" s="180">
        <v>8059</v>
      </c>
      <c r="B49" s="180" t="s">
        <v>601</v>
      </c>
      <c r="C49" s="180" t="s">
        <v>602</v>
      </c>
      <c r="D49" s="180" t="s">
        <v>603</v>
      </c>
      <c r="E49" s="181">
        <v>45537</v>
      </c>
      <c r="F49" s="182">
        <v>61807</v>
      </c>
      <c r="G49" s="180" t="s">
        <v>502</v>
      </c>
      <c r="H49" s="182">
        <f t="shared" si="0"/>
        <v>46334.2</v>
      </c>
      <c r="I49" s="185">
        <f t="shared" si="1"/>
        <v>46112</v>
      </c>
      <c r="J49" s="186" t="str">
        <f t="shared" ca="1" si="2"/>
        <v>יום שלישי</v>
      </c>
      <c r="K49" s="187">
        <f>H49/'עיצוב מותנה'!$F$53</f>
        <v>13238.342857142856</v>
      </c>
      <c r="L49" s="220"/>
      <c r="M49" s="220"/>
      <c r="N49" s="220"/>
      <c r="O49" s="220"/>
      <c r="P49" s="220"/>
      <c r="Q49" s="220">
        <v>3.8</v>
      </c>
      <c r="R49" s="225">
        <v>69574.25</v>
      </c>
      <c r="S49" s="220"/>
      <c r="T49" s="220"/>
      <c r="U49" s="220"/>
    </row>
    <row r="50" spans="1:21" x14ac:dyDescent="0.3">
      <c r="A50" s="180">
        <v>6470</v>
      </c>
      <c r="B50" s="180" t="s">
        <v>604</v>
      </c>
      <c r="C50" s="180" t="s">
        <v>136</v>
      </c>
      <c r="D50" s="180" t="s">
        <v>125</v>
      </c>
      <c r="E50" s="181">
        <v>44330</v>
      </c>
      <c r="F50" s="182">
        <v>52973</v>
      </c>
      <c r="G50" s="180" t="s">
        <v>495</v>
      </c>
      <c r="H50" s="182">
        <f t="shared" si="0"/>
        <v>41033.800000000003</v>
      </c>
      <c r="I50" s="185">
        <f t="shared" si="1"/>
        <v>44895</v>
      </c>
      <c r="J50" s="186" t="str">
        <f t="shared" ca="1" si="2"/>
        <v>אנא פנה בדחיפות לחברה</v>
      </c>
      <c r="K50" s="187">
        <f>H50/'עיצוב מותנה'!$F$53</f>
        <v>11723.942857142858</v>
      </c>
      <c r="L50" s="220"/>
      <c r="M50" s="220"/>
      <c r="N50" s="220"/>
      <c r="O50" s="220"/>
      <c r="P50" s="220"/>
      <c r="Q50" s="220"/>
      <c r="R50" s="220"/>
      <c r="S50" s="220"/>
      <c r="T50" s="220"/>
      <c r="U50" s="220"/>
    </row>
    <row r="51" spans="1:21" x14ac:dyDescent="0.3">
      <c r="A51" s="180">
        <v>5893</v>
      </c>
      <c r="B51" s="180" t="s">
        <v>264</v>
      </c>
      <c r="C51" s="180" t="s">
        <v>605</v>
      </c>
      <c r="D51" s="180" t="s">
        <v>606</v>
      </c>
      <c r="E51" s="181">
        <v>44650</v>
      </c>
      <c r="F51" s="182">
        <v>27087</v>
      </c>
      <c r="G51" s="180" t="s">
        <v>495</v>
      </c>
      <c r="H51" s="182">
        <f t="shared" si="0"/>
        <v>24315.25</v>
      </c>
      <c r="I51" s="185">
        <f t="shared" si="1"/>
        <v>45199</v>
      </c>
      <c r="J51" s="186" t="str">
        <f t="shared" ca="1" si="2"/>
        <v>אנא פנה בדחיפות לחברה</v>
      </c>
      <c r="K51" s="187">
        <f>H51/'עיצוב מותנה'!$F$53</f>
        <v>6947.2142857142853</v>
      </c>
      <c r="L51" s="220"/>
      <c r="M51" s="220"/>
      <c r="N51" s="220"/>
      <c r="O51" s="220"/>
      <c r="P51" s="220"/>
      <c r="Q51" s="220"/>
      <c r="R51" s="220"/>
      <c r="S51" s="220"/>
      <c r="T51" s="220"/>
      <c r="U51" s="220"/>
    </row>
    <row r="52" spans="1:21" x14ac:dyDescent="0.3">
      <c r="L52" s="220"/>
      <c r="M52" s="220"/>
      <c r="N52" s="220"/>
      <c r="O52" s="220"/>
      <c r="P52" s="220"/>
      <c r="Q52" s="220" t="s">
        <v>607</v>
      </c>
      <c r="R52" s="220" t="s">
        <v>608</v>
      </c>
      <c r="S52" s="220"/>
      <c r="T52" s="220"/>
      <c r="U52" s="220"/>
    </row>
    <row r="53" spans="1:21" x14ac:dyDescent="0.3">
      <c r="E53" s="186" t="s">
        <v>126</v>
      </c>
      <c r="F53">
        <v>3.5</v>
      </c>
      <c r="L53" s="220"/>
      <c r="M53" s="220"/>
      <c r="N53" s="220"/>
      <c r="O53" s="220"/>
      <c r="P53" s="220" t="s">
        <v>484</v>
      </c>
      <c r="Q53" s="225">
        <f>SUMIF($G$2:$G$51,P53,$H$2:$H$51)</f>
        <v>639964.79999999993</v>
      </c>
      <c r="R53" s="220">
        <f>COUNTIF($G$2:$G$51,P53)</f>
        <v>13</v>
      </c>
      <c r="S53" s="220"/>
      <c r="T53" s="220"/>
      <c r="U53" s="220"/>
    </row>
    <row r="54" spans="1:21" x14ac:dyDescent="0.3">
      <c r="L54" s="220"/>
      <c r="M54" s="220"/>
      <c r="N54" s="220"/>
      <c r="O54" s="220"/>
      <c r="P54" s="220" t="s">
        <v>484</v>
      </c>
      <c r="Q54" s="225">
        <f t="shared" ref="Q54:Q58" si="4">SUMIF($G$2:$G$51,P54,$H$2:$H$51)</f>
        <v>639964.79999999993</v>
      </c>
      <c r="R54" s="220">
        <f t="shared" ref="R54:R58" si="5">COUNTIF($G$2:$G$51,P54)</f>
        <v>13</v>
      </c>
      <c r="S54" s="220"/>
      <c r="T54" s="220"/>
      <c r="U54" s="220"/>
    </row>
    <row r="55" spans="1:21" x14ac:dyDescent="0.3">
      <c r="L55" s="220"/>
      <c r="M55" s="220"/>
      <c r="N55" s="220"/>
      <c r="O55" s="220"/>
      <c r="P55" s="220" t="s">
        <v>491</v>
      </c>
      <c r="Q55" s="225">
        <f t="shared" si="4"/>
        <v>420214.4</v>
      </c>
      <c r="R55" s="220">
        <f t="shared" si="5"/>
        <v>9</v>
      </c>
      <c r="S55" s="220"/>
      <c r="T55" s="220"/>
      <c r="U55" s="220"/>
    </row>
    <row r="56" spans="1:21" x14ac:dyDescent="0.3">
      <c r="L56" s="220"/>
      <c r="M56" s="220"/>
      <c r="N56" s="220"/>
      <c r="O56" s="220"/>
      <c r="P56" s="220" t="s">
        <v>495</v>
      </c>
      <c r="Q56" s="225">
        <f t="shared" si="4"/>
        <v>454816.65</v>
      </c>
      <c r="R56" s="220">
        <f t="shared" si="5"/>
        <v>13</v>
      </c>
      <c r="S56" s="220"/>
      <c r="T56" s="220"/>
      <c r="U56" s="220"/>
    </row>
    <row r="57" spans="1:21" x14ac:dyDescent="0.3">
      <c r="L57" s="220"/>
      <c r="M57" s="220"/>
      <c r="N57" s="220"/>
      <c r="O57" s="220"/>
      <c r="P57" s="220" t="s">
        <v>502</v>
      </c>
      <c r="Q57" s="225">
        <f t="shared" si="4"/>
        <v>399735.69999999995</v>
      </c>
      <c r="R57" s="220">
        <f t="shared" si="5"/>
        <v>10</v>
      </c>
      <c r="S57" s="220"/>
      <c r="T57" s="220"/>
      <c r="U57" s="220"/>
    </row>
    <row r="58" spans="1:21" x14ac:dyDescent="0.3">
      <c r="L58" s="220"/>
      <c r="M58" s="220"/>
      <c r="N58" s="220"/>
      <c r="O58" s="220"/>
      <c r="P58" s="220" t="s">
        <v>555</v>
      </c>
      <c r="Q58" s="225">
        <f t="shared" si="4"/>
        <v>148317.75</v>
      </c>
      <c r="R58" s="220">
        <f t="shared" si="5"/>
        <v>5</v>
      </c>
      <c r="S58" s="220"/>
      <c r="T58" s="220"/>
      <c r="U58" s="220"/>
    </row>
    <row r="59" spans="1:21" x14ac:dyDescent="0.3">
      <c r="L59" s="220"/>
      <c r="M59" s="220"/>
      <c r="N59" s="220"/>
      <c r="O59" s="220"/>
      <c r="P59" s="223"/>
      <c r="Q59" s="220"/>
      <c r="R59" s="220"/>
      <c r="S59" s="220"/>
      <c r="T59" s="220"/>
      <c r="U59" s="220"/>
    </row>
    <row r="60" spans="1:21" x14ac:dyDescent="0.3">
      <c r="L60" s="220"/>
      <c r="M60" s="220"/>
      <c r="N60" s="220"/>
      <c r="O60" s="220"/>
      <c r="P60" s="221" t="s">
        <v>609</v>
      </c>
      <c r="Q60" s="221"/>
      <c r="R60" s="221" t="str">
        <f>_xlfn.XLOOKUP(MIN(R53:R58),R53:R58,P53:P58)</f>
        <v>מיסוי</v>
      </c>
      <c r="S60" s="220"/>
      <c r="T60" s="220"/>
      <c r="U60" s="220"/>
    </row>
    <row r="61" spans="1:21" x14ac:dyDescent="0.3">
      <c r="L61" s="220"/>
      <c r="M61" s="220"/>
      <c r="N61" s="220"/>
      <c r="O61" s="220"/>
      <c r="P61" s="223"/>
      <c r="Q61" s="220"/>
      <c r="R61" s="220"/>
      <c r="S61" s="220"/>
      <c r="T61" s="220"/>
      <c r="U61" s="220"/>
    </row>
    <row r="62" spans="1:21" x14ac:dyDescent="0.3">
      <c r="L62" s="220"/>
      <c r="M62" s="220"/>
      <c r="N62" s="220"/>
      <c r="O62" s="220"/>
      <c r="P62" s="223"/>
      <c r="Q62" s="220"/>
      <c r="R62" s="220"/>
      <c r="S62" s="220"/>
      <c r="T62" s="220"/>
      <c r="U62" s="220"/>
    </row>
    <row r="63" spans="1:21" x14ac:dyDescent="0.3">
      <c r="L63" s="220"/>
      <c r="M63" s="220"/>
      <c r="N63" s="220"/>
      <c r="O63" s="220"/>
      <c r="P63" s="223"/>
      <c r="Q63" s="220"/>
      <c r="R63" s="220"/>
      <c r="S63" s="220"/>
      <c r="T63" s="220"/>
      <c r="U63" s="220"/>
    </row>
    <row r="64" spans="1:21" x14ac:dyDescent="0.3">
      <c r="L64" s="220"/>
      <c r="M64" s="220"/>
      <c r="N64" s="220"/>
      <c r="O64" s="220"/>
      <c r="P64" s="223"/>
      <c r="Q64" s="220"/>
      <c r="R64" s="220"/>
      <c r="S64" s="220"/>
      <c r="T64" s="220"/>
      <c r="U64" s="220"/>
    </row>
    <row r="65" spans="16:16" x14ac:dyDescent="0.3">
      <c r="P65"/>
    </row>
    <row r="66" spans="16:16" x14ac:dyDescent="0.3">
      <c r="P66"/>
    </row>
    <row r="67" spans="16:16" x14ac:dyDescent="0.3">
      <c r="P67"/>
    </row>
    <row r="68" spans="16:16" x14ac:dyDescent="0.3">
      <c r="P68"/>
    </row>
    <row r="69" spans="16:16" x14ac:dyDescent="0.3">
      <c r="P69"/>
    </row>
    <row r="70" spans="16:16" x14ac:dyDescent="0.3">
      <c r="P70"/>
    </row>
    <row r="71" spans="16:16" x14ac:dyDescent="0.3">
      <c r="P71"/>
    </row>
    <row r="72" spans="16:16" x14ac:dyDescent="0.3">
      <c r="P72"/>
    </row>
    <row r="73" spans="16:16" x14ac:dyDescent="0.3">
      <c r="P73"/>
    </row>
    <row r="74" spans="16:16" x14ac:dyDescent="0.3">
      <c r="P74"/>
    </row>
    <row r="75" spans="16:16" x14ac:dyDescent="0.3">
      <c r="P75"/>
    </row>
    <row r="76" spans="16:16" x14ac:dyDescent="0.3">
      <c r="P76"/>
    </row>
    <row r="77" spans="16:16" x14ac:dyDescent="0.3">
      <c r="P77"/>
    </row>
    <row r="78" spans="16:16" x14ac:dyDescent="0.3">
      <c r="P78"/>
    </row>
    <row r="79" spans="16:16" x14ac:dyDescent="0.3">
      <c r="P79"/>
    </row>
    <row r="80" spans="16:16" x14ac:dyDescent="0.3">
      <c r="P80"/>
    </row>
    <row r="81" spans="16:16" x14ac:dyDescent="0.3">
      <c r="P81"/>
    </row>
    <row r="82" spans="16:16" x14ac:dyDescent="0.3">
      <c r="P82"/>
    </row>
    <row r="83" spans="16:16" x14ac:dyDescent="0.3">
      <c r="P83"/>
    </row>
    <row r="84" spans="16:16" x14ac:dyDescent="0.3">
      <c r="P84"/>
    </row>
    <row r="85" spans="16:16" x14ac:dyDescent="0.3">
      <c r="P85"/>
    </row>
    <row r="86" spans="16:16" x14ac:dyDescent="0.3">
      <c r="P86"/>
    </row>
    <row r="87" spans="16:16" x14ac:dyDescent="0.3">
      <c r="P87"/>
    </row>
    <row r="88" spans="16:16" x14ac:dyDescent="0.3">
      <c r="P88"/>
    </row>
    <row r="89" spans="16:16" x14ac:dyDescent="0.3">
      <c r="P89"/>
    </row>
    <row r="90" spans="16:16" x14ac:dyDescent="0.3">
      <c r="P90"/>
    </row>
    <row r="91" spans="16:16" x14ac:dyDescent="0.3">
      <c r="P91"/>
    </row>
    <row r="92" spans="16:16" x14ac:dyDescent="0.3">
      <c r="P92"/>
    </row>
    <row r="93" spans="16:16" x14ac:dyDescent="0.3">
      <c r="P93"/>
    </row>
    <row r="94" spans="16:16" x14ac:dyDescent="0.3">
      <c r="P94"/>
    </row>
    <row r="95" spans="16:16" x14ac:dyDescent="0.3">
      <c r="P95"/>
    </row>
    <row r="96" spans="16:16" x14ac:dyDescent="0.3">
      <c r="P96"/>
    </row>
    <row r="97" spans="16:16" x14ac:dyDescent="0.3">
      <c r="P97"/>
    </row>
    <row r="98" spans="16:16" x14ac:dyDescent="0.3">
      <c r="P98"/>
    </row>
    <row r="99" spans="16:16" x14ac:dyDescent="0.3">
      <c r="P99"/>
    </row>
    <row r="100" spans="16:16" x14ac:dyDescent="0.3">
      <c r="P100"/>
    </row>
  </sheetData>
  <pageMargins left="0.7" right="0.7" top="0.75" bottom="0.75" header="0.3" footer="0.3"/>
  <pageSetup paperSize="9" scale="98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DA8A45-2270-467F-AF12-7022F85BE916}">
  <dimension ref="A1:Z52"/>
  <sheetViews>
    <sheetView rightToLeft="1" zoomScaleNormal="100" workbookViewId="0">
      <selection activeCell="P13" sqref="P13"/>
    </sheetView>
  </sheetViews>
  <sheetFormatPr defaultColWidth="8.796875" defaultRowHeight="13.8" x14ac:dyDescent="0.25"/>
  <cols>
    <col min="1" max="1" width="1.8984375" style="14" customWidth="1"/>
    <col min="2" max="2" width="9.296875" style="14" bestFit="1" customWidth="1"/>
    <col min="3" max="3" width="12" style="14" bestFit="1" customWidth="1"/>
    <col min="4" max="4" width="2.09765625" style="14" customWidth="1"/>
    <col min="5" max="5" width="17.19921875" style="14" bestFit="1" customWidth="1"/>
    <col min="6" max="6" width="12" style="14" bestFit="1" customWidth="1"/>
    <col min="7" max="8" width="12" style="14" hidden="1" customWidth="1"/>
    <col min="9" max="9" width="11.19921875" style="14" hidden="1" customWidth="1"/>
    <col min="10" max="10" width="12.69921875" style="43" hidden="1" customWidth="1"/>
    <col min="11" max="11" width="11.796875" style="3" bestFit="1" customWidth="1"/>
    <col min="12" max="12" width="10.69921875" style="3" bestFit="1" customWidth="1"/>
    <col min="13" max="15" width="10.69921875" style="3" customWidth="1"/>
    <col min="16" max="16" width="10.796875" style="3" customWidth="1"/>
    <col min="17" max="17" width="4.3984375" style="3" customWidth="1"/>
    <col min="18" max="16384" width="8.796875" style="3"/>
  </cols>
  <sheetData>
    <row r="1" spans="1:26" ht="52.8" customHeight="1" x14ac:dyDescent="0.25">
      <c r="A1" s="39" t="s">
        <v>166</v>
      </c>
      <c r="B1" s="39" t="s">
        <v>120</v>
      </c>
      <c r="C1" s="39" t="s">
        <v>119</v>
      </c>
      <c r="D1" s="39" t="s">
        <v>167</v>
      </c>
      <c r="E1" s="62" t="s">
        <v>168</v>
      </c>
      <c r="F1" s="39" t="s">
        <v>169</v>
      </c>
      <c r="G1" s="39" t="s">
        <v>170</v>
      </c>
      <c r="H1" s="39" t="s">
        <v>171</v>
      </c>
      <c r="I1" s="39" t="s">
        <v>172</v>
      </c>
      <c r="J1" s="40" t="s">
        <v>173</v>
      </c>
      <c r="K1" s="41" t="s">
        <v>174</v>
      </c>
      <c r="L1" s="63" t="s">
        <v>175</v>
      </c>
      <c r="M1" s="65"/>
      <c r="N1" s="63"/>
      <c r="O1" s="64"/>
      <c r="P1" s="226"/>
      <c r="Q1" s="227"/>
      <c r="R1" s="227"/>
      <c r="S1" s="227"/>
      <c r="T1" s="227"/>
      <c r="U1" s="227"/>
      <c r="V1" s="227"/>
      <c r="W1" s="227"/>
      <c r="X1" s="227"/>
      <c r="Y1" s="227"/>
      <c r="Z1" s="227"/>
    </row>
    <row r="2" spans="1:26" x14ac:dyDescent="0.25">
      <c r="A2" s="14">
        <v>6056565</v>
      </c>
      <c r="B2" s="14" t="s">
        <v>179</v>
      </c>
      <c r="C2" s="14" t="s">
        <v>136</v>
      </c>
      <c r="D2" s="14" t="s">
        <v>180</v>
      </c>
      <c r="E2" s="42">
        <v>43604</v>
      </c>
      <c r="F2" s="14">
        <v>23</v>
      </c>
      <c r="G2" s="14" t="s">
        <v>181</v>
      </c>
      <c r="H2" s="14" t="s">
        <v>182</v>
      </c>
      <c r="I2" s="14">
        <v>60</v>
      </c>
      <c r="J2" s="43">
        <v>15750</v>
      </c>
      <c r="K2" s="44" cm="1">
        <f t="array" ref="K2">_xlfn.XLOOKUP(I2,$R$4:$R$8,_xlfn.XLOOKUP(H2,$S$3:$U$3,$S$4:$U$8,,0),,-1)*J2</f>
        <v>2835</v>
      </c>
      <c r="L2" s="11"/>
      <c r="M2" s="11"/>
      <c r="N2" s="11"/>
      <c r="O2" s="11"/>
      <c r="P2" s="45"/>
      <c r="Q2" s="228"/>
      <c r="R2" s="229" t="s">
        <v>183</v>
      </c>
      <c r="S2" s="227"/>
      <c r="T2" s="227"/>
      <c r="U2" s="227"/>
      <c r="V2" s="227"/>
      <c r="W2" s="227"/>
      <c r="X2" s="227" t="s">
        <v>301</v>
      </c>
      <c r="Y2" s="227"/>
      <c r="Z2" s="227"/>
    </row>
    <row r="3" spans="1:26" x14ac:dyDescent="0.25">
      <c r="A3" s="14">
        <v>4430571</v>
      </c>
      <c r="B3" s="14" t="s">
        <v>184</v>
      </c>
      <c r="C3" s="14" t="s">
        <v>185</v>
      </c>
      <c r="D3" s="14" t="s">
        <v>186</v>
      </c>
      <c r="E3" s="42">
        <v>43504</v>
      </c>
      <c r="F3" s="14">
        <v>34</v>
      </c>
      <c r="G3" s="14" t="s">
        <v>181</v>
      </c>
      <c r="H3" s="14" t="s">
        <v>187</v>
      </c>
      <c r="I3" s="14">
        <v>95</v>
      </c>
      <c r="J3" s="43">
        <v>12750</v>
      </c>
      <c r="K3" s="44" cm="1">
        <f t="array" ref="K3">_xlfn.XLOOKUP(I3,$R$4:$R$8,_xlfn.XLOOKUP(H3,$S$3:$U$3,$S$4:$U$8,,0),,-1)*J3</f>
        <v>2805</v>
      </c>
      <c r="L3" s="11"/>
      <c r="M3" s="11"/>
      <c r="N3" s="11"/>
      <c r="O3" s="11"/>
      <c r="P3" s="45"/>
      <c r="Q3" s="228"/>
      <c r="R3" s="227" t="s">
        <v>188</v>
      </c>
      <c r="S3" s="230" t="s">
        <v>182</v>
      </c>
      <c r="T3" s="230" t="s">
        <v>187</v>
      </c>
      <c r="U3" s="230" t="s">
        <v>189</v>
      </c>
      <c r="V3" s="227"/>
      <c r="W3" s="227"/>
      <c r="X3" s="227"/>
      <c r="Y3" s="227"/>
      <c r="Z3" s="227"/>
    </row>
    <row r="4" spans="1:26" ht="14.4" x14ac:dyDescent="0.3">
      <c r="A4" s="14">
        <v>3427449</v>
      </c>
      <c r="B4" s="14" t="s">
        <v>190</v>
      </c>
      <c r="C4" s="14" t="s">
        <v>191</v>
      </c>
      <c r="D4" s="14" t="s">
        <v>192</v>
      </c>
      <c r="E4" s="42">
        <v>43166</v>
      </c>
      <c r="F4" s="14">
        <v>47</v>
      </c>
      <c r="G4" s="14" t="s">
        <v>193</v>
      </c>
      <c r="H4" s="14" t="s">
        <v>189</v>
      </c>
      <c r="I4" s="14">
        <v>31</v>
      </c>
      <c r="J4" s="43">
        <v>114000</v>
      </c>
      <c r="K4" s="44" cm="1">
        <f t="array" ref="K4">_xlfn.XLOOKUP(I4,$R$4:$R$8,_xlfn.XLOOKUP(H4,$S$3:$U$3,$S$4:$U$8,,0),,-1)*J4</f>
        <v>22800</v>
      </c>
      <c r="L4" s="11"/>
      <c r="M4" s="11"/>
      <c r="N4" s="11"/>
      <c r="O4" s="11"/>
      <c r="P4" s="45"/>
      <c r="Q4" s="228"/>
      <c r="R4" s="231">
        <v>0</v>
      </c>
      <c r="S4" s="232">
        <v>0.12</v>
      </c>
      <c r="T4" s="232">
        <v>0.14000000000000001</v>
      </c>
      <c r="U4" s="232">
        <v>0.16</v>
      </c>
      <c r="V4" s="227"/>
      <c r="W4" s="227"/>
      <c r="X4" s="227"/>
      <c r="Y4" s="227"/>
      <c r="Z4" s="227"/>
    </row>
    <row r="5" spans="1:26" ht="14.4" x14ac:dyDescent="0.3">
      <c r="A5" s="14">
        <v>5830124</v>
      </c>
      <c r="B5" s="14" t="s">
        <v>194</v>
      </c>
      <c r="C5" s="14" t="s">
        <v>195</v>
      </c>
      <c r="D5" s="14" t="s">
        <v>196</v>
      </c>
      <c r="E5" s="42">
        <v>44132</v>
      </c>
      <c r="F5" s="14">
        <v>26</v>
      </c>
      <c r="G5" s="14" t="s">
        <v>197</v>
      </c>
      <c r="H5" s="14" t="s">
        <v>189</v>
      </c>
      <c r="I5" s="14">
        <v>26</v>
      </c>
      <c r="J5" s="43">
        <v>77500</v>
      </c>
      <c r="K5" s="44" cm="1">
        <f t="array" ref="K5">_xlfn.XLOOKUP(I5,$R$4:$R$8,_xlfn.XLOOKUP(H5,$S$3:$U$3,$S$4:$U$8,,0),,-1)*J5</f>
        <v>15500</v>
      </c>
      <c r="L5" s="11"/>
      <c r="M5" s="11"/>
      <c r="N5" s="11"/>
      <c r="O5" s="11"/>
      <c r="P5" s="45"/>
      <c r="Q5" s="228"/>
      <c r="R5" s="231">
        <v>15</v>
      </c>
      <c r="S5" s="232">
        <v>0.15</v>
      </c>
      <c r="T5" s="232">
        <v>0.18</v>
      </c>
      <c r="U5" s="232">
        <v>0.2</v>
      </c>
      <c r="V5" s="227"/>
      <c r="W5" s="227"/>
      <c r="X5" s="227"/>
      <c r="Y5" s="227"/>
      <c r="Z5" s="227"/>
    </row>
    <row r="6" spans="1:26" ht="14.4" x14ac:dyDescent="0.3">
      <c r="A6" s="14">
        <v>3192167</v>
      </c>
      <c r="B6" s="14" t="s">
        <v>198</v>
      </c>
      <c r="C6" s="14" t="s">
        <v>199</v>
      </c>
      <c r="D6" s="14" t="s">
        <v>200</v>
      </c>
      <c r="E6" s="42">
        <v>44493</v>
      </c>
      <c r="F6" s="14">
        <v>57</v>
      </c>
      <c r="G6" s="14" t="s">
        <v>197</v>
      </c>
      <c r="H6" s="14" t="s">
        <v>189</v>
      </c>
      <c r="I6" s="14">
        <v>99</v>
      </c>
      <c r="J6" s="43">
        <v>63000</v>
      </c>
      <c r="K6" s="44" cm="1">
        <f t="array" ref="K6">_xlfn.XLOOKUP(I6,$R$4:$R$8,_xlfn.XLOOKUP(H6,$S$3:$U$3,$S$4:$U$8,,0),,-1)*J6</f>
        <v>17640</v>
      </c>
      <c r="L6" s="11"/>
      <c r="M6" s="11"/>
      <c r="N6" s="11"/>
      <c r="O6" s="11"/>
      <c r="P6" s="45"/>
      <c r="Q6" s="228"/>
      <c r="R6" s="231">
        <v>40</v>
      </c>
      <c r="S6" s="232">
        <v>0.18</v>
      </c>
      <c r="T6" s="232">
        <v>0.2</v>
      </c>
      <c r="U6" s="232">
        <v>0.25</v>
      </c>
      <c r="V6" s="227"/>
      <c r="W6" s="227"/>
      <c r="X6" s="227"/>
      <c r="Y6" s="227"/>
      <c r="Z6" s="227"/>
    </row>
    <row r="7" spans="1:26" ht="14.4" x14ac:dyDescent="0.3">
      <c r="A7" s="14">
        <v>5145835</v>
      </c>
      <c r="B7" s="14" t="s">
        <v>201</v>
      </c>
      <c r="C7" s="14" t="s">
        <v>138</v>
      </c>
      <c r="D7" s="14" t="s">
        <v>202</v>
      </c>
      <c r="E7" s="42">
        <v>43978</v>
      </c>
      <c r="F7" s="14">
        <v>48</v>
      </c>
      <c r="G7" s="14" t="s">
        <v>181</v>
      </c>
      <c r="H7" s="14" t="s">
        <v>182</v>
      </c>
      <c r="I7" s="14">
        <v>75</v>
      </c>
      <c r="J7" s="43">
        <v>30125</v>
      </c>
      <c r="K7" s="44" cm="1">
        <f t="array" ref="K7">_xlfn.XLOOKUP(I7,$R$4:$R$8,_xlfn.XLOOKUP(H7,$S$3:$U$3,$S$4:$U$8,,0),,-1)*J7</f>
        <v>6025</v>
      </c>
      <c r="L7" s="11"/>
      <c r="M7" s="11"/>
      <c r="N7" s="11"/>
      <c r="O7" s="11"/>
      <c r="P7" s="45"/>
      <c r="Q7" s="228"/>
      <c r="R7" s="231">
        <v>70</v>
      </c>
      <c r="S7" s="232">
        <v>0.2</v>
      </c>
      <c r="T7" s="232">
        <v>0.22</v>
      </c>
      <c r="U7" s="232">
        <v>0.28000000000000003</v>
      </c>
      <c r="V7" s="227"/>
      <c r="W7" s="227"/>
      <c r="X7" s="227"/>
      <c r="Y7" s="227"/>
      <c r="Z7" s="227"/>
    </row>
    <row r="8" spans="1:26" ht="14.4" x14ac:dyDescent="0.3">
      <c r="A8" s="14">
        <v>5915445</v>
      </c>
      <c r="B8" s="14" t="s">
        <v>203</v>
      </c>
      <c r="C8" s="14" t="s">
        <v>204</v>
      </c>
      <c r="D8" s="49" t="s">
        <v>205</v>
      </c>
      <c r="E8" s="50">
        <v>44071</v>
      </c>
      <c r="F8" s="14">
        <v>18</v>
      </c>
      <c r="G8" s="14" t="s">
        <v>193</v>
      </c>
      <c r="H8" s="14" t="s">
        <v>182</v>
      </c>
      <c r="I8" s="14">
        <v>81</v>
      </c>
      <c r="J8" s="43">
        <v>23375</v>
      </c>
      <c r="K8" s="44" cm="1">
        <f t="array" ref="K8">_xlfn.XLOOKUP(I8,$R$4:$R$8,_xlfn.XLOOKUP(H8,$S$3:$U$3,$S$4:$U$8,,0),,-1)*J8</f>
        <v>4675</v>
      </c>
      <c r="L8" s="11"/>
      <c r="M8" s="11"/>
      <c r="N8" s="11"/>
      <c r="O8" s="11"/>
      <c r="P8" s="45"/>
      <c r="Q8" s="228"/>
      <c r="R8" s="231">
        <v>110</v>
      </c>
      <c r="S8" s="232">
        <v>0.25</v>
      </c>
      <c r="T8" s="232">
        <v>0.3</v>
      </c>
      <c r="U8" s="232">
        <v>0.32</v>
      </c>
      <c r="V8" s="227"/>
      <c r="W8" s="227"/>
      <c r="X8" s="227"/>
      <c r="Y8" s="227"/>
      <c r="Z8" s="227"/>
    </row>
    <row r="9" spans="1:26" x14ac:dyDescent="0.25">
      <c r="A9" s="14">
        <v>5464769</v>
      </c>
      <c r="B9" s="14" t="s">
        <v>206</v>
      </c>
      <c r="C9" s="14" t="s">
        <v>207</v>
      </c>
      <c r="D9" s="14" t="s">
        <v>208</v>
      </c>
      <c r="E9" s="42">
        <v>43497</v>
      </c>
      <c r="F9" s="14">
        <v>37</v>
      </c>
      <c r="G9" s="14" t="s">
        <v>181</v>
      </c>
      <c r="H9" s="14" t="s">
        <v>182</v>
      </c>
      <c r="I9" s="14">
        <v>66</v>
      </c>
      <c r="J9" s="43">
        <v>35625</v>
      </c>
      <c r="K9" s="44" cm="1">
        <f t="array" ref="K9">_xlfn.XLOOKUP(I9,$R$4:$R$8,_xlfn.XLOOKUP(H9,$S$3:$U$3,$S$4:$U$8,,0),,-1)*J9</f>
        <v>6412.5</v>
      </c>
      <c r="L9" s="11"/>
      <c r="M9" s="11"/>
      <c r="N9" s="11"/>
      <c r="O9" s="11"/>
      <c r="P9" s="45"/>
      <c r="Q9" s="228"/>
      <c r="R9" s="227"/>
      <c r="S9" s="227"/>
      <c r="T9" s="227"/>
      <c r="U9" s="227"/>
      <c r="V9" s="227"/>
      <c r="W9" s="227"/>
      <c r="X9" s="227"/>
      <c r="Y9" s="227"/>
      <c r="Z9" s="227"/>
    </row>
    <row r="10" spans="1:26" x14ac:dyDescent="0.25">
      <c r="A10" s="14">
        <v>3992335</v>
      </c>
      <c r="B10" s="14" t="s">
        <v>209</v>
      </c>
      <c r="C10" s="14" t="s">
        <v>210</v>
      </c>
      <c r="D10" s="14" t="s">
        <v>211</v>
      </c>
      <c r="E10" s="42">
        <v>44845</v>
      </c>
      <c r="F10" s="14">
        <v>62</v>
      </c>
      <c r="G10" s="14" t="s">
        <v>193</v>
      </c>
      <c r="H10" s="14" t="s">
        <v>189</v>
      </c>
      <c r="I10" s="14">
        <v>63</v>
      </c>
      <c r="J10" s="43">
        <v>9500</v>
      </c>
      <c r="K10" s="44" cm="1">
        <f t="array" ref="K10">_xlfn.XLOOKUP(I10,$R$4:$R$8,_xlfn.XLOOKUP(H10,$S$3:$U$3,$S$4:$U$8,,0),,-1)*J10</f>
        <v>2375</v>
      </c>
      <c r="L10" s="11"/>
      <c r="M10" s="11"/>
      <c r="N10" s="11"/>
      <c r="O10" s="11"/>
      <c r="P10" s="45"/>
      <c r="Q10" s="228"/>
      <c r="R10" s="195" t="s">
        <v>212</v>
      </c>
      <c r="S10" s="227"/>
      <c r="T10" s="227"/>
      <c r="U10" s="227"/>
      <c r="V10" s="227"/>
      <c r="W10" s="227"/>
      <c r="X10" s="227"/>
      <c r="Y10" s="227"/>
      <c r="Z10" s="227"/>
    </row>
    <row r="11" spans="1:26" x14ac:dyDescent="0.25">
      <c r="A11" s="14">
        <v>4633026</v>
      </c>
      <c r="B11" s="14" t="s">
        <v>213</v>
      </c>
      <c r="C11" s="14" t="s">
        <v>214</v>
      </c>
      <c r="D11" s="14" t="s">
        <v>215</v>
      </c>
      <c r="E11" s="42">
        <v>45030</v>
      </c>
      <c r="F11" s="14">
        <v>30</v>
      </c>
      <c r="G11" s="14" t="s">
        <v>181</v>
      </c>
      <c r="H11" s="14" t="s">
        <v>189</v>
      </c>
      <c r="I11" s="14">
        <v>86</v>
      </c>
      <c r="J11" s="43">
        <v>8250</v>
      </c>
      <c r="K11" s="44" cm="1">
        <f t="array" ref="K11">_xlfn.XLOOKUP(I11,$R$4:$R$8,_xlfn.XLOOKUP(H11,$S$3:$U$3,$S$4:$U$8,,0),,-1)*J11</f>
        <v>2310</v>
      </c>
      <c r="L11" s="11"/>
      <c r="M11" s="11"/>
      <c r="N11" s="11"/>
      <c r="O11" s="11"/>
      <c r="P11" s="45"/>
      <c r="Q11" s="228"/>
      <c r="R11" s="227" t="s">
        <v>216</v>
      </c>
      <c r="S11" s="227" t="s">
        <v>217</v>
      </c>
      <c r="T11" s="227" t="s">
        <v>218</v>
      </c>
      <c r="U11" s="227"/>
      <c r="V11" s="227"/>
      <c r="W11" s="227"/>
      <c r="X11" s="227"/>
      <c r="Y11" s="227"/>
      <c r="Z11" s="227"/>
    </row>
    <row r="12" spans="1:26" x14ac:dyDescent="0.25">
      <c r="A12" s="14">
        <v>6790786</v>
      </c>
      <c r="B12" s="14" t="s">
        <v>219</v>
      </c>
      <c r="C12" s="14" t="s">
        <v>220</v>
      </c>
      <c r="D12" s="14" t="s">
        <v>221</v>
      </c>
      <c r="E12" s="42">
        <v>42875</v>
      </c>
      <c r="F12" s="14">
        <v>49</v>
      </c>
      <c r="G12" s="14" t="s">
        <v>181</v>
      </c>
      <c r="H12" s="14" t="s">
        <v>187</v>
      </c>
      <c r="I12" s="14">
        <v>121</v>
      </c>
      <c r="J12" s="43">
        <v>12500</v>
      </c>
      <c r="K12" s="44" cm="1">
        <f t="array" ref="K12">_xlfn.XLOOKUP(I12,$R$4:$R$8,_xlfn.XLOOKUP(H12,$S$3:$U$3,$S$4:$U$8,,0),,-1)*J12</f>
        <v>3750</v>
      </c>
      <c r="L12" s="11"/>
      <c r="M12" s="11"/>
      <c r="N12" s="11"/>
      <c r="O12" s="11"/>
      <c r="P12" s="45"/>
      <c r="Q12" s="228"/>
      <c r="R12" s="227">
        <v>0</v>
      </c>
      <c r="S12" s="233">
        <v>2.5000000000000001E-2</v>
      </c>
      <c r="T12" s="227">
        <v>0</v>
      </c>
      <c r="U12" s="227"/>
      <c r="V12" s="227"/>
      <c r="W12" s="227"/>
      <c r="X12" s="227"/>
      <c r="Y12" s="227"/>
      <c r="Z12" s="227"/>
    </row>
    <row r="13" spans="1:26" x14ac:dyDescent="0.25">
      <c r="A13" s="14">
        <v>5828005</v>
      </c>
      <c r="B13" s="14" t="s">
        <v>222</v>
      </c>
      <c r="C13" s="14" t="s">
        <v>223</v>
      </c>
      <c r="D13" s="14" t="s">
        <v>224</v>
      </c>
      <c r="E13" s="42">
        <v>44265</v>
      </c>
      <c r="F13" s="14">
        <v>32</v>
      </c>
      <c r="G13" s="14" t="s">
        <v>197</v>
      </c>
      <c r="H13" s="14" t="s">
        <v>187</v>
      </c>
      <c r="I13" s="14">
        <v>8</v>
      </c>
      <c r="J13" s="43">
        <v>26500</v>
      </c>
      <c r="K13" s="44" cm="1">
        <f t="array" ref="K13">_xlfn.XLOOKUP(I13,$R$4:$R$8,_xlfn.XLOOKUP(H13,$S$3:$U$3,$S$4:$U$8,,0),,-1)*J13</f>
        <v>3710.0000000000005</v>
      </c>
      <c r="L13" s="11"/>
      <c r="M13" s="11"/>
      <c r="N13" s="11"/>
      <c r="O13" s="11"/>
      <c r="P13" s="45"/>
      <c r="Q13" s="228"/>
      <c r="R13" s="227">
        <v>10000</v>
      </c>
      <c r="S13" s="234">
        <v>0.04</v>
      </c>
      <c r="T13" s="227">
        <f>(R13-R12)*S12+T12</f>
        <v>250</v>
      </c>
      <c r="U13" s="227"/>
      <c r="V13" s="227"/>
      <c r="W13" s="227"/>
      <c r="X13" s="227"/>
      <c r="Y13" s="227"/>
      <c r="Z13" s="227"/>
    </row>
    <row r="14" spans="1:26" x14ac:dyDescent="0.25">
      <c r="A14" s="14">
        <v>6934852</v>
      </c>
      <c r="B14" s="14" t="s">
        <v>225</v>
      </c>
      <c r="C14" s="14" t="s">
        <v>226</v>
      </c>
      <c r="D14" s="14" t="s">
        <v>227</v>
      </c>
      <c r="E14" s="42">
        <v>45594</v>
      </c>
      <c r="F14" s="14">
        <v>31</v>
      </c>
      <c r="G14" s="14" t="s">
        <v>193</v>
      </c>
      <c r="H14" s="14" t="s">
        <v>182</v>
      </c>
      <c r="I14" s="14">
        <v>83</v>
      </c>
      <c r="J14" s="43">
        <v>8625</v>
      </c>
      <c r="K14" s="44" cm="1">
        <f t="array" ref="K14">_xlfn.XLOOKUP(I14,$R$4:$R$8,_xlfn.XLOOKUP(H14,$S$3:$U$3,$S$4:$U$8,,0),,-1)*J14</f>
        <v>1725</v>
      </c>
      <c r="L14" s="11"/>
      <c r="M14" s="11"/>
      <c r="N14" s="11"/>
      <c r="O14" s="11"/>
      <c r="P14" s="45"/>
      <c r="Q14" s="228"/>
      <c r="R14" s="227">
        <v>25000</v>
      </c>
      <c r="S14" s="234">
        <v>0.05</v>
      </c>
      <c r="T14" s="227">
        <f t="shared" ref="T14:T16" si="0">(R14-R13)*S13+T13</f>
        <v>850</v>
      </c>
      <c r="U14" s="227"/>
      <c r="V14" s="227"/>
      <c r="W14" s="227"/>
      <c r="X14" s="227"/>
      <c r="Y14" s="227"/>
      <c r="Z14" s="227"/>
    </row>
    <row r="15" spans="1:26" x14ac:dyDescent="0.25">
      <c r="A15" s="14">
        <v>4708795</v>
      </c>
      <c r="B15" s="14" t="s">
        <v>228</v>
      </c>
      <c r="C15" s="14" t="s">
        <v>229</v>
      </c>
      <c r="D15" s="14" t="s">
        <v>230</v>
      </c>
      <c r="E15" s="42">
        <v>40295</v>
      </c>
      <c r="F15" s="14">
        <v>26</v>
      </c>
      <c r="G15" s="14" t="s">
        <v>181</v>
      </c>
      <c r="H15" s="14" t="s">
        <v>189</v>
      </c>
      <c r="I15" s="14">
        <v>21</v>
      </c>
      <c r="J15" s="43">
        <v>42500</v>
      </c>
      <c r="K15" s="44" cm="1">
        <f t="array" ref="K15">_xlfn.XLOOKUP(I15,$R$4:$R$8,_xlfn.XLOOKUP(H15,$S$3:$U$3,$S$4:$U$8,,0),,-1)*J15</f>
        <v>8500</v>
      </c>
      <c r="L15" s="11"/>
      <c r="M15" s="11"/>
      <c r="N15" s="11"/>
      <c r="O15" s="11"/>
      <c r="P15" s="45"/>
      <c r="Q15" s="228"/>
      <c r="R15" s="227">
        <v>50000</v>
      </c>
      <c r="S15" s="233">
        <v>7.4999999999999997E-2</v>
      </c>
      <c r="T15" s="227">
        <f t="shared" si="0"/>
        <v>2100</v>
      </c>
      <c r="U15" s="227"/>
      <c r="V15" s="227"/>
      <c r="W15" s="227"/>
      <c r="X15" s="227"/>
      <c r="Y15" s="227"/>
      <c r="Z15" s="227"/>
    </row>
    <row r="16" spans="1:26" x14ac:dyDescent="0.25">
      <c r="A16" s="14">
        <v>4853519</v>
      </c>
      <c r="B16" s="14" t="s">
        <v>231</v>
      </c>
      <c r="C16" s="14" t="s">
        <v>232</v>
      </c>
      <c r="D16" s="14" t="s">
        <v>233</v>
      </c>
      <c r="E16" s="42">
        <v>43440</v>
      </c>
      <c r="F16" s="14">
        <v>65</v>
      </c>
      <c r="G16" s="14" t="s">
        <v>181</v>
      </c>
      <c r="H16" s="14" t="s">
        <v>189</v>
      </c>
      <c r="I16" s="14">
        <v>106</v>
      </c>
      <c r="J16" s="43">
        <v>30250</v>
      </c>
      <c r="K16" s="44" cm="1">
        <f t="array" ref="K16">_xlfn.XLOOKUP(I16,$R$4:$R$8,_xlfn.XLOOKUP(H16,$S$3:$U$3,$S$4:$U$8,,0),,-1)*J16</f>
        <v>8470</v>
      </c>
      <c r="L16" s="11"/>
      <c r="M16" s="11"/>
      <c r="N16" s="11"/>
      <c r="O16" s="11"/>
      <c r="P16" s="45"/>
      <c r="Q16" s="228"/>
      <c r="R16" s="227">
        <v>100000</v>
      </c>
      <c r="S16" s="234">
        <v>0.1</v>
      </c>
      <c r="T16" s="227">
        <f t="shared" si="0"/>
        <v>5850</v>
      </c>
      <c r="U16" s="227"/>
      <c r="V16" s="227"/>
      <c r="W16" s="227"/>
      <c r="X16" s="227"/>
      <c r="Y16" s="227"/>
      <c r="Z16" s="227"/>
    </row>
    <row r="17" spans="1:26" x14ac:dyDescent="0.25">
      <c r="A17" s="14">
        <v>5769687</v>
      </c>
      <c r="B17" s="14" t="s">
        <v>234</v>
      </c>
      <c r="C17" s="14" t="s">
        <v>235</v>
      </c>
      <c r="D17" s="14" t="s">
        <v>236</v>
      </c>
      <c r="E17" s="42">
        <v>40534</v>
      </c>
      <c r="F17" s="14">
        <v>36</v>
      </c>
      <c r="G17" s="14" t="s">
        <v>181</v>
      </c>
      <c r="H17" s="14" t="s">
        <v>182</v>
      </c>
      <c r="I17" s="14">
        <v>87</v>
      </c>
      <c r="J17" s="43">
        <v>8500</v>
      </c>
      <c r="K17" s="44" cm="1">
        <f t="array" ref="K17">_xlfn.XLOOKUP(I17,$R$4:$R$8,_xlfn.XLOOKUP(H17,$S$3:$U$3,$S$4:$U$8,,0),,-1)*J17</f>
        <v>1700</v>
      </c>
      <c r="L17" s="11"/>
      <c r="M17" s="11"/>
      <c r="N17" s="11"/>
      <c r="O17" s="11"/>
      <c r="P17" s="45"/>
      <c r="Q17" s="228"/>
      <c r="R17" s="227"/>
      <c r="S17" s="227"/>
      <c r="T17" s="227"/>
      <c r="U17" s="227"/>
      <c r="V17" s="227"/>
      <c r="W17" s="227"/>
      <c r="X17" s="227"/>
      <c r="Y17" s="227"/>
      <c r="Z17" s="227"/>
    </row>
    <row r="18" spans="1:26" x14ac:dyDescent="0.25">
      <c r="A18" s="14">
        <v>5720158</v>
      </c>
      <c r="B18" s="14" t="s">
        <v>237</v>
      </c>
      <c r="C18" s="14" t="s">
        <v>238</v>
      </c>
      <c r="D18" s="14" t="s">
        <v>239</v>
      </c>
      <c r="E18" s="42">
        <v>44419</v>
      </c>
      <c r="F18" s="14">
        <v>27</v>
      </c>
      <c r="G18" s="14" t="s">
        <v>197</v>
      </c>
      <c r="H18" s="14" t="s">
        <v>182</v>
      </c>
      <c r="I18" s="14">
        <v>19</v>
      </c>
      <c r="J18" s="43">
        <v>58125</v>
      </c>
      <c r="K18" s="44" cm="1">
        <f t="array" ref="K18">_xlfn.XLOOKUP(I18,$R$4:$R$8,_xlfn.XLOOKUP(H18,$S$3:$U$3,$S$4:$U$8,,0),,-1)*J18</f>
        <v>8718.75</v>
      </c>
      <c r="L18" s="11"/>
      <c r="M18" s="11"/>
      <c r="N18" s="11"/>
      <c r="O18" s="11"/>
      <c r="P18" s="45"/>
      <c r="Q18" s="228"/>
      <c r="R18" s="230" t="s">
        <v>240</v>
      </c>
      <c r="S18" s="227"/>
      <c r="T18" s="195" t="s">
        <v>241</v>
      </c>
      <c r="U18" s="227"/>
      <c r="V18" s="227"/>
      <c r="W18" s="227"/>
      <c r="X18" s="227"/>
      <c r="Y18" s="227">
        <v>12</v>
      </c>
      <c r="Z18" s="227"/>
    </row>
    <row r="19" spans="1:26" x14ac:dyDescent="0.25">
      <c r="A19" s="14">
        <v>5521822</v>
      </c>
      <c r="B19" s="14" t="s">
        <v>242</v>
      </c>
      <c r="C19" s="14" t="s">
        <v>225</v>
      </c>
      <c r="D19" s="14" t="s">
        <v>243</v>
      </c>
      <c r="E19" s="42">
        <v>43641</v>
      </c>
      <c r="F19" s="14">
        <v>27</v>
      </c>
      <c r="G19" s="14" t="s">
        <v>197</v>
      </c>
      <c r="H19" s="14" t="s">
        <v>187</v>
      </c>
      <c r="I19" s="14">
        <v>95</v>
      </c>
      <c r="J19" s="43">
        <v>16000</v>
      </c>
      <c r="K19" s="44" cm="1">
        <f t="array" ref="K19">_xlfn.XLOOKUP(I19,$R$4:$R$8,_xlfn.XLOOKUP(H19,$S$3:$U$3,$S$4:$U$8,,0),,-1)*J19</f>
        <v>3520</v>
      </c>
      <c r="L19" s="11"/>
      <c r="M19" s="11"/>
      <c r="N19" s="11"/>
      <c r="O19" s="11"/>
      <c r="P19" s="45"/>
      <c r="Q19" s="228"/>
      <c r="R19" s="235">
        <v>2020</v>
      </c>
      <c r="S19" s="227"/>
      <c r="T19" s="227"/>
      <c r="U19" s="227"/>
      <c r="V19" s="227">
        <v>2020</v>
      </c>
      <c r="W19" s="227"/>
      <c r="X19" s="227"/>
      <c r="Y19" s="227"/>
      <c r="Z19" s="227"/>
    </row>
    <row r="20" spans="1:26" x14ac:dyDescent="0.25">
      <c r="A20" s="14">
        <v>3907601</v>
      </c>
      <c r="B20" s="14" t="s">
        <v>244</v>
      </c>
      <c r="C20" s="14" t="s">
        <v>245</v>
      </c>
      <c r="D20" s="14" t="s">
        <v>246</v>
      </c>
      <c r="E20" s="42">
        <v>45562</v>
      </c>
      <c r="F20" s="14">
        <v>59</v>
      </c>
      <c r="G20" s="14" t="s">
        <v>181</v>
      </c>
      <c r="H20" s="14" t="s">
        <v>189</v>
      </c>
      <c r="I20" s="14">
        <v>23</v>
      </c>
      <c r="J20" s="43">
        <v>95750</v>
      </c>
      <c r="K20" s="44" cm="1">
        <f t="array" ref="K20">_xlfn.XLOOKUP(I20,$R$4:$R$8,_xlfn.XLOOKUP(H20,$S$3:$U$3,$S$4:$U$8,,0),,-1)*J20</f>
        <v>19150</v>
      </c>
      <c r="L20" s="11"/>
      <c r="M20" s="11"/>
      <c r="N20" s="11"/>
      <c r="O20" s="11"/>
      <c r="P20" s="45"/>
      <c r="Q20" s="228"/>
      <c r="R20" s="235">
        <v>2025</v>
      </c>
      <c r="S20" s="227"/>
      <c r="T20" s="227"/>
      <c r="U20" s="227"/>
      <c r="V20" s="227">
        <v>2025</v>
      </c>
      <c r="W20" s="227"/>
      <c r="X20" s="227"/>
      <c r="Y20" s="227"/>
      <c r="Z20" s="227"/>
    </row>
    <row r="21" spans="1:26" x14ac:dyDescent="0.25">
      <c r="A21" s="14">
        <v>5127949</v>
      </c>
      <c r="B21" s="14" t="s">
        <v>247</v>
      </c>
      <c r="C21" s="14" t="s">
        <v>248</v>
      </c>
      <c r="D21" s="14" t="s">
        <v>249</v>
      </c>
      <c r="E21" s="42">
        <v>43235</v>
      </c>
      <c r="F21" s="14">
        <v>23</v>
      </c>
      <c r="G21" s="14" t="s">
        <v>193</v>
      </c>
      <c r="H21" s="14" t="s">
        <v>182</v>
      </c>
      <c r="I21" s="14">
        <v>74</v>
      </c>
      <c r="J21" s="43">
        <v>6000</v>
      </c>
      <c r="K21" s="44" cm="1">
        <f t="array" ref="K21">_xlfn.XLOOKUP(I21,$R$4:$R$8,_xlfn.XLOOKUP(H21,$S$3:$U$3,$S$4:$U$8,,0),,-1)*J21</f>
        <v>1200</v>
      </c>
      <c r="L21" s="11"/>
      <c r="M21" s="11"/>
      <c r="N21" s="11"/>
      <c r="O21" s="11"/>
      <c r="P21" s="45"/>
      <c r="Q21" s="228"/>
      <c r="R21" s="235">
        <v>10</v>
      </c>
      <c r="S21" s="227"/>
      <c r="T21" s="227"/>
      <c r="U21" s="227"/>
      <c r="V21" s="227">
        <v>10</v>
      </c>
      <c r="W21" s="227"/>
      <c r="X21" s="227"/>
      <c r="Y21" s="227"/>
      <c r="Z21" s="227"/>
    </row>
    <row r="22" spans="1:26" x14ac:dyDescent="0.25">
      <c r="A22" s="14">
        <v>3083848</v>
      </c>
      <c r="B22" s="14" t="s">
        <v>250</v>
      </c>
      <c r="C22" s="14" t="s">
        <v>251</v>
      </c>
      <c r="D22" s="14" t="s">
        <v>252</v>
      </c>
      <c r="E22" s="42">
        <v>41908</v>
      </c>
      <c r="F22" s="14">
        <v>18</v>
      </c>
      <c r="G22" s="14" t="s">
        <v>181</v>
      </c>
      <c r="H22" s="14" t="s">
        <v>182</v>
      </c>
      <c r="I22" s="14">
        <v>9</v>
      </c>
      <c r="J22" s="43">
        <v>11000</v>
      </c>
      <c r="K22" s="44" cm="1">
        <f t="array" ref="K22">_xlfn.XLOOKUP(I22,$R$4:$R$8,_xlfn.XLOOKUP(H22,$S$3:$U$3,$S$4:$U$8,,0),,-1)*J22</f>
        <v>1320</v>
      </c>
      <c r="L22" s="11"/>
      <c r="M22" s="11"/>
      <c r="N22" s="11"/>
      <c r="O22" s="11"/>
      <c r="P22" s="45"/>
      <c r="Q22" s="227"/>
      <c r="R22" s="235">
        <v>1</v>
      </c>
      <c r="S22" s="227"/>
      <c r="T22" s="227"/>
      <c r="U22" s="227"/>
      <c r="V22" s="227">
        <v>1</v>
      </c>
      <c r="W22" s="227"/>
      <c r="X22" s="227"/>
      <c r="Y22" s="227"/>
      <c r="Z22" s="227"/>
    </row>
    <row r="23" spans="1:26" x14ac:dyDescent="0.25">
      <c r="A23" s="14">
        <v>4115321</v>
      </c>
      <c r="B23" s="14" t="s">
        <v>253</v>
      </c>
      <c r="C23" s="14" t="s">
        <v>254</v>
      </c>
      <c r="D23" s="14" t="s">
        <v>255</v>
      </c>
      <c r="E23" s="42">
        <v>43335</v>
      </c>
      <c r="F23" s="14">
        <v>53</v>
      </c>
      <c r="G23" s="14" t="s">
        <v>181</v>
      </c>
      <c r="H23" s="14" t="s">
        <v>182</v>
      </c>
      <c r="I23" s="14">
        <v>54</v>
      </c>
      <c r="J23" s="43">
        <v>20000</v>
      </c>
      <c r="K23" s="44" cm="1">
        <f t="array" ref="K23">_xlfn.XLOOKUP(I23,$R$4:$R$8,_xlfn.XLOOKUP(H23,$S$3:$U$3,$S$4:$U$8,,0),,-1)*J23</f>
        <v>3600</v>
      </c>
      <c r="L23" s="11"/>
      <c r="M23" s="11"/>
      <c r="N23" s="11"/>
      <c r="O23" s="11"/>
      <c r="P23" s="45"/>
      <c r="Q23" s="227"/>
      <c r="R23" s="235">
        <v>6</v>
      </c>
      <c r="S23" s="227"/>
      <c r="T23" s="227"/>
      <c r="U23" s="227"/>
      <c r="V23" s="227">
        <v>6</v>
      </c>
      <c r="W23" s="227"/>
      <c r="X23" s="227"/>
      <c r="Y23" s="227"/>
      <c r="Z23" s="227"/>
    </row>
    <row r="24" spans="1:26" x14ac:dyDescent="0.25">
      <c r="A24" s="14">
        <v>5073393</v>
      </c>
      <c r="B24" s="14" t="s">
        <v>256</v>
      </c>
      <c r="C24" s="14" t="s">
        <v>257</v>
      </c>
      <c r="D24" s="14" t="s">
        <v>258</v>
      </c>
      <c r="E24" s="42">
        <v>44491</v>
      </c>
      <c r="F24" s="14">
        <v>36</v>
      </c>
      <c r="G24" s="14" t="s">
        <v>193</v>
      </c>
      <c r="H24" s="14" t="s">
        <v>189</v>
      </c>
      <c r="I24" s="14">
        <v>22</v>
      </c>
      <c r="J24" s="43">
        <v>6000</v>
      </c>
      <c r="K24" s="44" cm="1">
        <f t="array" ref="K24">_xlfn.XLOOKUP(I24,$R$4:$R$8,_xlfn.XLOOKUP(H24,$S$3:$U$3,$S$4:$U$8,,0),,-1)*J24</f>
        <v>1200</v>
      </c>
      <c r="L24" s="11"/>
      <c r="M24" s="11"/>
      <c r="N24" s="11"/>
      <c r="O24" s="11"/>
      <c r="P24" s="45"/>
      <c r="Q24" s="227"/>
      <c r="R24" s="235">
        <v>1</v>
      </c>
      <c r="S24" s="227"/>
      <c r="T24" s="227"/>
      <c r="U24" s="227"/>
      <c r="V24" s="227">
        <v>1</v>
      </c>
      <c r="W24" s="227"/>
      <c r="X24" s="227"/>
      <c r="Y24" s="227"/>
      <c r="Z24" s="227"/>
    </row>
    <row r="25" spans="1:26" x14ac:dyDescent="0.25">
      <c r="A25" s="14">
        <v>3791707</v>
      </c>
      <c r="B25" s="14" t="s">
        <v>209</v>
      </c>
      <c r="C25" s="14" t="s">
        <v>259</v>
      </c>
      <c r="D25" s="14" t="s">
        <v>260</v>
      </c>
      <c r="E25" s="42">
        <v>40426</v>
      </c>
      <c r="F25" s="14">
        <v>32</v>
      </c>
      <c r="G25" s="14" t="s">
        <v>197</v>
      </c>
      <c r="H25" s="14" t="s">
        <v>189</v>
      </c>
      <c r="I25" s="14">
        <v>113</v>
      </c>
      <c r="J25" s="43">
        <v>18750</v>
      </c>
      <c r="K25" s="44" cm="1">
        <f t="array" ref="K25">_xlfn.XLOOKUP(I25,$R$4:$R$8,_xlfn.XLOOKUP(H25,$S$3:$U$3,$S$4:$U$8,,0),,-1)*J25</f>
        <v>6000</v>
      </c>
      <c r="L25" s="11"/>
      <c r="M25" s="11"/>
      <c r="N25" s="11"/>
      <c r="O25" s="11"/>
      <c r="P25" s="45"/>
      <c r="Q25" s="227"/>
      <c r="R25" s="235">
        <v>0</v>
      </c>
      <c r="S25" s="227"/>
      <c r="T25" s="227"/>
      <c r="U25" s="227"/>
      <c r="V25" s="227">
        <v>0</v>
      </c>
      <c r="W25" s="227"/>
      <c r="X25" s="227"/>
      <c r="Y25" s="227"/>
      <c r="Z25" s="227"/>
    </row>
    <row r="26" spans="1:26" x14ac:dyDescent="0.25">
      <c r="A26" s="14">
        <v>5609175</v>
      </c>
      <c r="B26" s="14" t="s">
        <v>261</v>
      </c>
      <c r="C26" s="14" t="s">
        <v>262</v>
      </c>
      <c r="D26" s="14" t="s">
        <v>263</v>
      </c>
      <c r="E26" s="42">
        <v>39528</v>
      </c>
      <c r="F26" s="14">
        <v>33</v>
      </c>
      <c r="G26" s="14" t="s">
        <v>193</v>
      </c>
      <c r="H26" s="14" t="s">
        <v>182</v>
      </c>
      <c r="I26" s="14">
        <v>64</v>
      </c>
      <c r="J26" s="43">
        <v>36375</v>
      </c>
      <c r="K26" s="44" cm="1">
        <f t="array" ref="K26">_xlfn.XLOOKUP(I26,$R$4:$R$8,_xlfn.XLOOKUP(H26,$S$3:$U$3,$S$4:$U$8,,0),,-1)*J26</f>
        <v>6547.5</v>
      </c>
      <c r="L26" s="11"/>
      <c r="M26" s="11"/>
      <c r="N26" s="11"/>
      <c r="O26" s="11"/>
      <c r="P26" s="45"/>
      <c r="Q26" s="227"/>
      <c r="R26" s="227"/>
      <c r="S26" s="227"/>
      <c r="T26" s="227"/>
      <c r="U26" s="227"/>
      <c r="V26" s="227"/>
      <c r="W26" s="227"/>
      <c r="X26" s="227"/>
      <c r="Y26" s="227"/>
      <c r="Z26" s="227"/>
    </row>
    <row r="27" spans="1:26" x14ac:dyDescent="0.25">
      <c r="A27" s="14">
        <v>5989536</v>
      </c>
      <c r="B27" s="14" t="s">
        <v>264</v>
      </c>
      <c r="C27" s="14" t="s">
        <v>265</v>
      </c>
      <c r="D27" s="14" t="s">
        <v>266</v>
      </c>
      <c r="E27" s="42">
        <v>39502</v>
      </c>
      <c r="F27" s="14">
        <v>52</v>
      </c>
      <c r="G27" s="14" t="s">
        <v>193</v>
      </c>
      <c r="H27" s="14" t="s">
        <v>189</v>
      </c>
      <c r="I27" s="14">
        <v>28</v>
      </c>
      <c r="J27" s="43">
        <v>34750</v>
      </c>
      <c r="K27" s="44" cm="1">
        <f t="array" ref="K27">_xlfn.XLOOKUP(I27,$R$4:$R$8,_xlfn.XLOOKUP(H27,$S$3:$U$3,$S$4:$U$8,,0),,-1)*J27</f>
        <v>6950</v>
      </c>
      <c r="L27" s="11"/>
      <c r="M27" s="11"/>
      <c r="N27" s="11"/>
      <c r="O27" s="11"/>
      <c r="P27" s="45"/>
    </row>
    <row r="28" spans="1:26" x14ac:dyDescent="0.25">
      <c r="A28" s="14">
        <v>4100161</v>
      </c>
      <c r="B28" s="14" t="s">
        <v>267</v>
      </c>
      <c r="C28" s="14" t="s">
        <v>268</v>
      </c>
      <c r="D28" s="14" t="s">
        <v>269</v>
      </c>
      <c r="E28" s="42">
        <v>43649</v>
      </c>
      <c r="F28" s="14">
        <v>21</v>
      </c>
      <c r="G28" s="14" t="s">
        <v>181</v>
      </c>
      <c r="H28" s="14" t="s">
        <v>182</v>
      </c>
      <c r="I28" s="14">
        <v>88</v>
      </c>
      <c r="J28" s="43">
        <v>7125</v>
      </c>
      <c r="K28" s="44" cm="1">
        <f t="array" ref="K28">_xlfn.XLOOKUP(I28,$R$4:$R$8,_xlfn.XLOOKUP(H28,$S$3:$U$3,$S$4:$U$8,,0),,-1)*J28</f>
        <v>1425</v>
      </c>
      <c r="L28" s="11"/>
      <c r="M28" s="11"/>
      <c r="N28" s="11"/>
      <c r="O28" s="11"/>
      <c r="P28" s="45"/>
    </row>
    <row r="29" spans="1:26" x14ac:dyDescent="0.25">
      <c r="A29" s="14">
        <v>5763159</v>
      </c>
      <c r="B29" s="14" t="s">
        <v>270</v>
      </c>
      <c r="C29" s="14" t="s">
        <v>271</v>
      </c>
      <c r="D29" s="14" t="s">
        <v>272</v>
      </c>
      <c r="E29" s="42">
        <v>39551</v>
      </c>
      <c r="F29" s="14">
        <v>42</v>
      </c>
      <c r="G29" s="14" t="s">
        <v>197</v>
      </c>
      <c r="H29" s="14" t="s">
        <v>187</v>
      </c>
      <c r="I29" s="14">
        <v>103</v>
      </c>
      <c r="J29" s="43">
        <v>35175</v>
      </c>
      <c r="K29" s="44" cm="1">
        <f t="array" ref="K29">_xlfn.XLOOKUP(I29,$R$4:$R$8,_xlfn.XLOOKUP(H29,$S$3:$U$3,$S$4:$U$8,,0),,-1)*J29</f>
        <v>7738.5</v>
      </c>
      <c r="L29" s="11"/>
      <c r="M29" s="11"/>
      <c r="N29" s="11"/>
      <c r="O29" s="11"/>
      <c r="P29" s="45"/>
    </row>
    <row r="30" spans="1:26" x14ac:dyDescent="0.25">
      <c r="A30" s="14">
        <v>3539546</v>
      </c>
      <c r="B30" s="14" t="s">
        <v>273</v>
      </c>
      <c r="C30" s="14" t="s">
        <v>274</v>
      </c>
      <c r="D30" s="14" t="s">
        <v>275</v>
      </c>
      <c r="E30" s="42">
        <v>39882</v>
      </c>
      <c r="F30" s="14">
        <v>19</v>
      </c>
      <c r="G30" s="14" t="s">
        <v>181</v>
      </c>
      <c r="H30" s="14" t="s">
        <v>182</v>
      </c>
      <c r="I30" s="14">
        <v>59</v>
      </c>
      <c r="J30" s="43">
        <v>2625</v>
      </c>
      <c r="K30" s="44" cm="1">
        <f t="array" ref="K30">_xlfn.XLOOKUP(I30,$R$4:$R$8,_xlfn.XLOOKUP(H30,$S$3:$U$3,$S$4:$U$8,,0),,-1)*J30</f>
        <v>472.5</v>
      </c>
      <c r="L30" s="11"/>
      <c r="M30" s="11"/>
      <c r="N30" s="11"/>
      <c r="O30" s="11"/>
      <c r="P30" s="45"/>
    </row>
    <row r="31" spans="1:26" x14ac:dyDescent="0.25">
      <c r="A31" s="14">
        <v>5664243</v>
      </c>
      <c r="B31" s="14" t="s">
        <v>276</v>
      </c>
      <c r="C31" s="14" t="s">
        <v>277</v>
      </c>
      <c r="D31" s="14" t="s">
        <v>278</v>
      </c>
      <c r="E31" s="42">
        <v>44186</v>
      </c>
      <c r="F31" s="14">
        <v>58</v>
      </c>
      <c r="G31" s="14" t="s">
        <v>181</v>
      </c>
      <c r="H31" s="14" t="s">
        <v>187</v>
      </c>
      <c r="I31" s="14">
        <v>58</v>
      </c>
      <c r="J31" s="43">
        <v>6500</v>
      </c>
      <c r="K31" s="44" cm="1">
        <f t="array" ref="K31">_xlfn.XLOOKUP(I31,$R$4:$R$8,_xlfn.XLOOKUP(H31,$S$3:$U$3,$S$4:$U$8,,0),,-1)*J31</f>
        <v>1300</v>
      </c>
      <c r="L31" s="11"/>
      <c r="M31" s="11"/>
      <c r="N31" s="11"/>
      <c r="O31" s="11"/>
      <c r="P31" s="45"/>
    </row>
    <row r="32" spans="1:26" x14ac:dyDescent="0.25">
      <c r="A32" s="14">
        <v>5678581</v>
      </c>
      <c r="B32" s="14" t="s">
        <v>279</v>
      </c>
      <c r="C32" s="14" t="s">
        <v>280</v>
      </c>
      <c r="D32" s="14" t="s">
        <v>281</v>
      </c>
      <c r="E32" s="42">
        <v>44265</v>
      </c>
      <c r="F32" s="14">
        <v>27</v>
      </c>
      <c r="G32" s="14" t="s">
        <v>193</v>
      </c>
      <c r="H32" s="14" t="s">
        <v>182</v>
      </c>
      <c r="I32" s="14">
        <v>110</v>
      </c>
      <c r="J32" s="43">
        <v>13000</v>
      </c>
      <c r="K32" s="44" cm="1">
        <f t="array" ref="K32">_xlfn.XLOOKUP(I32,$R$4:$R$8,_xlfn.XLOOKUP(H32,$S$3:$U$3,$S$4:$U$8,,0),,-1)*J32</f>
        <v>3250</v>
      </c>
      <c r="L32" s="11"/>
      <c r="M32" s="11"/>
      <c r="N32" s="11"/>
      <c r="O32" s="11"/>
      <c r="P32" s="45"/>
    </row>
    <row r="33" spans="1:20" x14ac:dyDescent="0.25">
      <c r="A33" s="14">
        <v>4220283</v>
      </c>
      <c r="B33" s="14" t="s">
        <v>282</v>
      </c>
      <c r="C33" s="14" t="s">
        <v>283</v>
      </c>
      <c r="D33" s="14" t="s">
        <v>284</v>
      </c>
      <c r="E33" s="42">
        <v>45228</v>
      </c>
      <c r="F33" s="14">
        <v>19</v>
      </c>
      <c r="G33" s="14" t="s">
        <v>193</v>
      </c>
      <c r="H33" s="14" t="s">
        <v>189</v>
      </c>
      <c r="I33" s="14">
        <v>103</v>
      </c>
      <c r="J33" s="43">
        <v>15250</v>
      </c>
      <c r="K33" s="44" cm="1">
        <f t="array" ref="K33">_xlfn.XLOOKUP(I33,$R$4:$R$8,_xlfn.XLOOKUP(H33,$S$3:$U$3,$S$4:$U$8,,0),,-1)*J33</f>
        <v>4270</v>
      </c>
      <c r="L33" s="11"/>
      <c r="M33" s="11"/>
      <c r="N33" s="11"/>
      <c r="O33" s="11"/>
      <c r="P33" s="45"/>
    </row>
    <row r="34" spans="1:20" x14ac:dyDescent="0.25">
      <c r="A34" s="14">
        <v>3591027</v>
      </c>
      <c r="B34" s="14" t="s">
        <v>285</v>
      </c>
      <c r="C34" s="14" t="s">
        <v>286</v>
      </c>
      <c r="D34" s="49" t="s">
        <v>287</v>
      </c>
      <c r="E34" s="50">
        <v>43436</v>
      </c>
      <c r="F34" s="14">
        <v>20</v>
      </c>
      <c r="G34" s="14" t="s">
        <v>181</v>
      </c>
      <c r="H34" s="14" t="s">
        <v>182</v>
      </c>
      <c r="I34" s="14">
        <v>8</v>
      </c>
      <c r="J34" s="43">
        <v>16500</v>
      </c>
      <c r="K34" s="44" cm="1">
        <f t="array" ref="K34">_xlfn.XLOOKUP(I34,$R$4:$R$8,_xlfn.XLOOKUP(H34,$S$3:$U$3,$S$4:$U$8,,0),,-1)*J34</f>
        <v>1980</v>
      </c>
      <c r="L34" s="11"/>
      <c r="M34" s="11"/>
      <c r="N34" s="11"/>
      <c r="O34" s="11"/>
      <c r="P34" s="45"/>
    </row>
    <row r="35" spans="1:20" x14ac:dyDescent="0.25">
      <c r="A35" s="14">
        <v>4241247</v>
      </c>
      <c r="B35" s="14" t="s">
        <v>288</v>
      </c>
      <c r="C35" s="14" t="s">
        <v>289</v>
      </c>
      <c r="D35" s="14" t="s">
        <v>290</v>
      </c>
      <c r="E35" s="42">
        <v>44450</v>
      </c>
      <c r="F35" s="14">
        <v>65</v>
      </c>
      <c r="G35" s="14" t="s">
        <v>181</v>
      </c>
      <c r="H35" s="14" t="s">
        <v>182</v>
      </c>
      <c r="I35" s="14">
        <v>14</v>
      </c>
      <c r="J35" s="43">
        <v>6625</v>
      </c>
      <c r="K35" s="44" cm="1">
        <f t="array" ref="K35">_xlfn.XLOOKUP(I35,$R$4:$R$8,_xlfn.XLOOKUP(H35,$S$3:$U$3,$S$4:$U$8,,0),,-1)*J35</f>
        <v>795</v>
      </c>
      <c r="L35" s="11"/>
      <c r="M35" s="11"/>
      <c r="N35" s="11"/>
      <c r="O35" s="11"/>
      <c r="P35" s="45"/>
    </row>
    <row r="36" spans="1:20" x14ac:dyDescent="0.25">
      <c r="A36" s="14">
        <v>4280247</v>
      </c>
      <c r="B36" s="14" t="s">
        <v>293</v>
      </c>
      <c r="C36" s="14" t="s">
        <v>294</v>
      </c>
      <c r="D36" s="14" t="s">
        <v>295</v>
      </c>
      <c r="E36" s="42">
        <v>45447</v>
      </c>
      <c r="F36" s="14">
        <v>40</v>
      </c>
      <c r="G36" s="14" t="s">
        <v>181</v>
      </c>
      <c r="H36" s="14" t="s">
        <v>187</v>
      </c>
      <c r="I36" s="14">
        <v>56</v>
      </c>
      <c r="J36" s="43">
        <v>7500</v>
      </c>
      <c r="K36" s="44" cm="1">
        <f t="array" ref="K36">_xlfn.XLOOKUP(I36,$R$4:$R$8,_xlfn.XLOOKUP(H36,$S$3:$U$3,$S$4:$U$8,,0),,-1)*J36</f>
        <v>1500</v>
      </c>
      <c r="L36" s="11"/>
      <c r="M36" s="11"/>
      <c r="N36" s="11"/>
      <c r="O36" s="11"/>
      <c r="P36" s="45"/>
    </row>
    <row r="37" spans="1:20" ht="47.25" customHeight="1" x14ac:dyDescent="0.25">
      <c r="E37" s="52"/>
      <c r="M37" s="11"/>
      <c r="N37" s="11"/>
      <c r="O37" s="11"/>
    </row>
    <row r="38" spans="1:20" x14ac:dyDescent="0.25">
      <c r="A38" s="53" t="s">
        <v>296</v>
      </c>
      <c r="M38" s="11"/>
      <c r="N38" s="11"/>
      <c r="O38" s="11"/>
    </row>
    <row r="39" spans="1:20" x14ac:dyDescent="0.25">
      <c r="A39" s="54">
        <f>SUM(P2:P36)</f>
        <v>0</v>
      </c>
      <c r="M39" s="11"/>
      <c r="N39" s="11"/>
      <c r="O39" s="11"/>
    </row>
    <row r="40" spans="1:20" x14ac:dyDescent="0.25">
      <c r="M40" s="11"/>
      <c r="N40" s="11"/>
      <c r="O40" s="11"/>
    </row>
    <row r="41" spans="1:20" x14ac:dyDescent="0.25">
      <c r="B41" s="55">
        <f>A39</f>
        <v>0</v>
      </c>
      <c r="C41" s="56">
        <v>90000</v>
      </c>
      <c r="D41" s="56">
        <v>95000</v>
      </c>
      <c r="E41" s="56">
        <v>100000</v>
      </c>
      <c r="F41" s="56">
        <v>105000</v>
      </c>
      <c r="G41" s="56">
        <v>110000</v>
      </c>
      <c r="H41" s="56">
        <v>115000</v>
      </c>
      <c r="I41" s="56">
        <v>120000</v>
      </c>
      <c r="J41" s="57">
        <v>125000</v>
      </c>
      <c r="M41" s="11"/>
      <c r="N41" s="11"/>
      <c r="O41" s="11"/>
      <c r="P41" s="47" t="s">
        <v>291</v>
      </c>
      <c r="Q41" s="47">
        <v>3.75</v>
      </c>
      <c r="R41" s="47" t="s">
        <v>292</v>
      </c>
      <c r="T41" s="51">
        <f>AVERAGE($I$2:$I$36)</f>
        <v>63.085714285714289</v>
      </c>
    </row>
    <row r="42" spans="1:20" x14ac:dyDescent="0.25">
      <c r="B42" s="58">
        <v>5.0000000000000001E-3</v>
      </c>
      <c r="C42" s="59">
        <f t="dataTable" ref="C42:J52" dt2D="1" dtr="1" r1="R16" r2="S12"/>
        <v>0</v>
      </c>
      <c r="D42" s="59">
        <v>0</v>
      </c>
      <c r="E42" s="59">
        <v>0</v>
      </c>
      <c r="F42" s="59">
        <v>0</v>
      </c>
      <c r="G42" s="59">
        <v>0</v>
      </c>
      <c r="H42" s="59">
        <v>0</v>
      </c>
      <c r="I42" s="59">
        <v>0</v>
      </c>
      <c r="J42" s="60">
        <v>0</v>
      </c>
      <c r="M42" s="11"/>
      <c r="N42" s="11"/>
      <c r="O42" s="11"/>
    </row>
    <row r="43" spans="1:20" ht="55.2" x14ac:dyDescent="0.25">
      <c r="B43" s="58">
        <v>7.4999999999999997E-3</v>
      </c>
      <c r="C43" s="59">
        <v>0</v>
      </c>
      <c r="D43" s="59">
        <v>0</v>
      </c>
      <c r="E43" s="59">
        <v>0</v>
      </c>
      <c r="F43" s="59">
        <v>0</v>
      </c>
      <c r="G43" s="59">
        <v>0</v>
      </c>
      <c r="H43" s="59">
        <v>0</v>
      </c>
      <c r="I43" s="59">
        <v>0</v>
      </c>
      <c r="J43" s="60">
        <v>0</v>
      </c>
      <c r="M43" s="11"/>
      <c r="P43" s="39" t="s">
        <v>169</v>
      </c>
      <c r="Q43" s="39" t="s">
        <v>170</v>
      </c>
      <c r="R43" s="39" t="s">
        <v>171</v>
      </c>
      <c r="S43" s="39" t="s">
        <v>172</v>
      </c>
      <c r="T43" s="41" t="s">
        <v>177</v>
      </c>
    </row>
    <row r="44" spans="1:20" x14ac:dyDescent="0.25">
      <c r="B44" s="61">
        <v>0.01</v>
      </c>
      <c r="C44" s="59">
        <v>0</v>
      </c>
      <c r="D44" s="59">
        <v>0</v>
      </c>
      <c r="E44" s="59">
        <v>0</v>
      </c>
      <c r="F44" s="59">
        <v>0</v>
      </c>
      <c r="G44" s="59">
        <v>0</v>
      </c>
      <c r="H44" s="59">
        <v>0</v>
      </c>
      <c r="I44" s="59">
        <v>0</v>
      </c>
      <c r="J44" s="60">
        <v>0</v>
      </c>
      <c r="M44" s="11"/>
      <c r="P44" s="3" t="s">
        <v>298</v>
      </c>
      <c r="Q44" s="14" t="s">
        <v>193</v>
      </c>
    </row>
    <row r="45" spans="1:20" x14ac:dyDescent="0.25">
      <c r="B45" s="58">
        <v>1.2500000000000001E-2</v>
      </c>
      <c r="C45" s="59">
        <v>0</v>
      </c>
      <c r="D45" s="59">
        <v>0</v>
      </c>
      <c r="E45" s="59">
        <v>0</v>
      </c>
      <c r="F45" s="59">
        <v>0</v>
      </c>
      <c r="G45" s="59">
        <v>0</v>
      </c>
      <c r="H45" s="59">
        <v>0</v>
      </c>
      <c r="I45" s="59">
        <v>0</v>
      </c>
      <c r="J45" s="60">
        <v>0</v>
      </c>
      <c r="M45" s="11"/>
      <c r="P45" s="3" t="s">
        <v>298</v>
      </c>
      <c r="Q45" s="14" t="s">
        <v>197</v>
      </c>
    </row>
    <row r="46" spans="1:20" x14ac:dyDescent="0.25">
      <c r="B46" s="58">
        <v>1.4999999999999999E-2</v>
      </c>
      <c r="C46" s="59">
        <v>0</v>
      </c>
      <c r="D46" s="59">
        <v>0</v>
      </c>
      <c r="E46" s="59">
        <v>0</v>
      </c>
      <c r="F46" s="59">
        <v>0</v>
      </c>
      <c r="G46" s="59">
        <v>0</v>
      </c>
      <c r="H46" s="59">
        <v>0</v>
      </c>
      <c r="I46" s="59">
        <v>0</v>
      </c>
      <c r="J46" s="60">
        <v>0</v>
      </c>
      <c r="M46" s="11"/>
      <c r="T46" s="3" t="s">
        <v>299</v>
      </c>
    </row>
    <row r="47" spans="1:20" x14ac:dyDescent="0.25">
      <c r="B47" s="58">
        <v>1.7500000000000002E-2</v>
      </c>
      <c r="C47" s="59">
        <v>0</v>
      </c>
      <c r="D47" s="59">
        <v>0</v>
      </c>
      <c r="E47" s="59">
        <v>0</v>
      </c>
      <c r="F47" s="59">
        <v>0</v>
      </c>
      <c r="G47" s="59">
        <v>0</v>
      </c>
      <c r="H47" s="59">
        <v>0</v>
      </c>
      <c r="I47" s="59">
        <v>0</v>
      </c>
      <c r="J47" s="60">
        <v>0</v>
      </c>
      <c r="M47" s="11"/>
      <c r="R47" s="14" t="s">
        <v>187</v>
      </c>
      <c r="S47" s="12" t="s">
        <v>300</v>
      </c>
    </row>
    <row r="48" spans="1:20" x14ac:dyDescent="0.25">
      <c r="B48" s="58">
        <v>0.02</v>
      </c>
      <c r="C48" s="59">
        <v>0</v>
      </c>
      <c r="D48" s="59">
        <v>0</v>
      </c>
      <c r="E48" s="59">
        <v>0</v>
      </c>
      <c r="F48" s="59">
        <v>0</v>
      </c>
      <c r="G48" s="59">
        <v>0</v>
      </c>
      <c r="H48" s="59">
        <v>0</v>
      </c>
      <c r="I48" s="59">
        <v>0</v>
      </c>
      <c r="J48" s="60">
        <v>0</v>
      </c>
      <c r="M48" s="11"/>
      <c r="R48" s="14" t="s">
        <v>189</v>
      </c>
      <c r="S48" s="12" t="s">
        <v>300</v>
      </c>
    </row>
    <row r="49" spans="2:13" x14ac:dyDescent="0.25">
      <c r="B49" s="58">
        <v>2.2499999999999999E-2</v>
      </c>
      <c r="C49" s="59">
        <v>0</v>
      </c>
      <c r="D49" s="59">
        <v>0</v>
      </c>
      <c r="E49" s="59">
        <v>0</v>
      </c>
      <c r="F49" s="59">
        <v>0</v>
      </c>
      <c r="G49" s="59">
        <v>0</v>
      </c>
      <c r="H49" s="59">
        <v>0</v>
      </c>
      <c r="I49" s="59">
        <v>0</v>
      </c>
      <c r="J49" s="60">
        <v>0</v>
      </c>
      <c r="M49" s="11"/>
    </row>
    <row r="50" spans="2:13" x14ac:dyDescent="0.25">
      <c r="B50" s="58">
        <v>2.5000000000000001E-2</v>
      </c>
      <c r="C50" s="59">
        <v>0</v>
      </c>
      <c r="D50" s="59">
        <v>0</v>
      </c>
      <c r="E50" s="59">
        <v>0</v>
      </c>
      <c r="F50" s="59">
        <v>0</v>
      </c>
      <c r="G50" s="59">
        <v>0</v>
      </c>
      <c r="H50" s="59">
        <v>0</v>
      </c>
      <c r="I50" s="59">
        <v>0</v>
      </c>
      <c r="J50" s="60">
        <v>0</v>
      </c>
      <c r="M50" s="11"/>
    </row>
    <row r="51" spans="2:13" x14ac:dyDescent="0.25">
      <c r="B51" s="58">
        <v>2.75E-2</v>
      </c>
      <c r="C51" s="59">
        <v>0</v>
      </c>
      <c r="D51" s="59">
        <v>0</v>
      </c>
      <c r="E51" s="59">
        <v>0</v>
      </c>
      <c r="F51" s="59">
        <v>0</v>
      </c>
      <c r="G51" s="59">
        <v>0</v>
      </c>
      <c r="H51" s="59">
        <v>0</v>
      </c>
      <c r="I51" s="59">
        <v>0</v>
      </c>
      <c r="J51" s="60">
        <v>0</v>
      </c>
      <c r="M51" s="11"/>
    </row>
    <row r="52" spans="2:13" x14ac:dyDescent="0.25">
      <c r="B52" s="58">
        <v>0.03</v>
      </c>
      <c r="C52" s="59">
        <v>0</v>
      </c>
      <c r="D52" s="59">
        <v>0</v>
      </c>
      <c r="E52" s="59">
        <v>0</v>
      </c>
      <c r="F52" s="59">
        <v>0</v>
      </c>
      <c r="G52" s="59">
        <v>0</v>
      </c>
      <c r="H52" s="59">
        <v>0</v>
      </c>
      <c r="I52" s="59">
        <v>0</v>
      </c>
      <c r="J52" s="60">
        <v>0</v>
      </c>
      <c r="M52" s="11"/>
    </row>
  </sheetData>
  <conditionalFormatting sqref="C42:J52">
    <cfRule type="cellIs" dxfId="3" priority="1" operator="greaterThan">
      <formula>40369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27289-9018-4497-80C0-07482CD22629}">
  <sheetPr>
    <tabColor rgb="FFFFFF00"/>
  </sheetPr>
  <dimension ref="A1:AG47"/>
  <sheetViews>
    <sheetView rightToLeft="1" zoomScale="85" zoomScaleNormal="85" workbookViewId="0">
      <selection activeCell="N29" sqref="N29"/>
    </sheetView>
  </sheetViews>
  <sheetFormatPr defaultColWidth="9" defaultRowHeight="13.8" x14ac:dyDescent="0.25"/>
  <cols>
    <col min="1" max="1" width="9.19921875" style="86" bestFit="1" customWidth="1"/>
    <col min="2" max="2" width="9.59765625" style="86" bestFit="1" customWidth="1"/>
    <col min="3" max="3" width="11" style="86" customWidth="1"/>
    <col min="4" max="4" width="14.796875" style="86" customWidth="1"/>
    <col min="5" max="5" width="10.796875" style="86" bestFit="1" customWidth="1"/>
    <col min="6" max="6" width="9.19921875" style="86" bestFit="1" customWidth="1"/>
    <col min="7" max="7" width="9.19921875" style="86" hidden="1" customWidth="1"/>
    <col min="8" max="8" width="20.8984375" style="86" hidden="1" customWidth="1"/>
    <col min="9" max="10" width="17.5" style="86" hidden="1" customWidth="1"/>
    <col min="11" max="11" width="16.3984375" style="86" hidden="1" customWidth="1"/>
    <col min="12" max="12" width="0" style="86" hidden="1" customWidth="1"/>
    <col min="13" max="13" width="11.09765625" style="86" hidden="1" customWidth="1"/>
    <col min="14" max="14" width="27.796875" style="86" customWidth="1"/>
    <col min="15" max="15" width="20.19921875" style="86" customWidth="1"/>
    <col min="16" max="16" width="9.8984375" style="86" bestFit="1" customWidth="1"/>
    <col min="17" max="19" width="9" style="86"/>
    <col min="20" max="20" width="12" style="86" bestFit="1" customWidth="1"/>
    <col min="21" max="16384" width="9" style="86"/>
  </cols>
  <sheetData>
    <row r="1" spans="1:33" s="77" customFormat="1" ht="55.8" thickBot="1" x14ac:dyDescent="0.3">
      <c r="A1" s="73" t="s">
        <v>310</v>
      </c>
      <c r="B1" s="73" t="s">
        <v>311</v>
      </c>
      <c r="C1" s="73" t="s">
        <v>312</v>
      </c>
      <c r="D1" s="74" t="s">
        <v>313</v>
      </c>
      <c r="E1" s="75" t="s">
        <v>314</v>
      </c>
      <c r="F1" s="73" t="s">
        <v>315</v>
      </c>
      <c r="G1" s="73" t="s">
        <v>316</v>
      </c>
      <c r="H1" s="73" t="s">
        <v>317</v>
      </c>
      <c r="I1" s="76" t="s">
        <v>318</v>
      </c>
      <c r="J1" s="76" t="s">
        <v>319</v>
      </c>
      <c r="K1" s="76" t="s">
        <v>320</v>
      </c>
      <c r="L1" s="76" t="s">
        <v>321</v>
      </c>
      <c r="M1" s="76" t="s">
        <v>322</v>
      </c>
      <c r="N1" s="76"/>
      <c r="S1" s="78"/>
      <c r="T1" s="78"/>
      <c r="Y1" s="236" t="s">
        <v>324</v>
      </c>
      <c r="Z1" s="237"/>
      <c r="AA1" s="237"/>
      <c r="AB1" s="237"/>
      <c r="AC1" s="237"/>
      <c r="AD1" s="237"/>
      <c r="AE1" s="237"/>
      <c r="AF1" s="237"/>
      <c r="AG1" s="237"/>
    </row>
    <row r="2" spans="1:33" x14ac:dyDescent="0.25">
      <c r="A2" s="79">
        <v>1855</v>
      </c>
      <c r="B2" s="79" t="s">
        <v>325</v>
      </c>
      <c r="C2" s="79" t="s">
        <v>326</v>
      </c>
      <c r="D2" s="80">
        <v>43723</v>
      </c>
      <c r="E2" s="81">
        <v>2500</v>
      </c>
      <c r="F2" s="79">
        <v>10</v>
      </c>
      <c r="G2" s="82">
        <v>8.9999999999999993E-3</v>
      </c>
      <c r="H2" s="83">
        <v>16761.877886011072</v>
      </c>
      <c r="I2" s="84">
        <f>(H2-E2)*'[4]נתונים נוספים'!$B$3</f>
        <v>44211.821446634327</v>
      </c>
      <c r="J2" s="85">
        <f>H2*(1+$J$29)*(1-G2*$J$30)</f>
        <v>19137.371220016561</v>
      </c>
      <c r="K2" s="84">
        <f>VLOOKUP(F2,'[4]נתונים נוספים'!$A$7:$D$12,VLOOKUP([4]השקעות!C2,'[4]נתונים נוספים'!$F$7:$G$9,2,0),0)*'[4]נתונים נוספים'!$B$3*H2</f>
        <v>7794.2732169951478</v>
      </c>
      <c r="L2" s="86" t="str">
        <f>TEXT(D2,"mmmm")</f>
        <v>ספטמבר</v>
      </c>
      <c r="M2" s="87">
        <f t="shared" ref="M2:M26" si="0">IF(AND(C2=$AA$34,E2&lt;$AA$35),DATE(YEAR(D2)+$AA$36,MONTH(D2)+$AA$37,$AA$38),IF(OR(F2=$AA$43,F2=$AA$44),DATE($AA$39,$AA$40,DAY(D2)),DATE(YEAR(D2),MONTH(D2)+$AA$41,DAY(D2)+$AA$42)))</f>
        <v>44469</v>
      </c>
      <c r="N2" s="260"/>
      <c r="P2" s="88"/>
      <c r="S2" s="89"/>
      <c r="T2" s="90"/>
      <c r="Z2" s="238"/>
      <c r="AA2" s="238" t="s">
        <v>327</v>
      </c>
      <c r="AB2" s="238"/>
      <c r="AC2" s="238"/>
      <c r="AD2" s="238"/>
      <c r="AE2" s="238"/>
      <c r="AF2" s="238"/>
      <c r="AG2" s="238"/>
    </row>
    <row r="3" spans="1:33" x14ac:dyDescent="0.25">
      <c r="A3" s="79">
        <v>1856</v>
      </c>
      <c r="B3" s="79" t="s">
        <v>328</v>
      </c>
      <c r="C3" s="79" t="s">
        <v>329</v>
      </c>
      <c r="D3" s="80">
        <v>42075</v>
      </c>
      <c r="E3" s="81">
        <v>146726</v>
      </c>
      <c r="F3" s="79">
        <v>13</v>
      </c>
      <c r="G3" s="82">
        <v>2.8999999999999998E-3</v>
      </c>
      <c r="H3" s="83">
        <v>214094.11260178176</v>
      </c>
      <c r="I3" s="84">
        <f>(H3-E3)*'[4]נתונים נוספים'!$B$3</f>
        <v>208841.14906552347</v>
      </c>
      <c r="J3" s="85">
        <f t="shared" ref="J3:J26" si="1">H3*(1+$J$29)*(1-G3*$J$30)</f>
        <v>245637.02639962744</v>
      </c>
      <c r="K3" s="84">
        <f>VLOOKUP(F3,'[4]נתונים נוספים'!$A$7:$D$12,VLOOKUP([4]השקעות!C3,'[4]נתונים נוספים'!$F$7:$G$9,2,0),0)*'[4]נתונים נוספים'!$B$3*H3</f>
        <v>142693.72604908753</v>
      </c>
      <c r="L3" s="86" t="str">
        <f t="shared" ref="L3:L26" si="2">TEXT(D3,"mmmm")</f>
        <v>מרץ</v>
      </c>
      <c r="M3" s="87">
        <f t="shared" si="0"/>
        <v>42332</v>
      </c>
      <c r="N3" s="260"/>
      <c r="P3" s="88"/>
      <c r="S3" s="89"/>
      <c r="T3" s="90"/>
      <c r="Z3" s="238"/>
      <c r="AA3" s="238" t="s">
        <v>329</v>
      </c>
      <c r="AB3" s="238"/>
      <c r="AC3" s="238"/>
      <c r="AD3" s="238"/>
      <c r="AE3" s="238" t="s">
        <v>329</v>
      </c>
      <c r="AF3" s="238"/>
      <c r="AG3" s="238"/>
    </row>
    <row r="4" spans="1:33" x14ac:dyDescent="0.25">
      <c r="A4" s="79">
        <v>1857</v>
      </c>
      <c r="B4" s="79" t="s">
        <v>330</v>
      </c>
      <c r="C4" s="79" t="s">
        <v>326</v>
      </c>
      <c r="D4" s="80">
        <v>43007</v>
      </c>
      <c r="E4" s="81">
        <v>253094</v>
      </c>
      <c r="F4" s="79">
        <v>10</v>
      </c>
      <c r="G4" s="82">
        <v>6.0000000000000001E-3</v>
      </c>
      <c r="H4" s="83">
        <v>307637.33883750002</v>
      </c>
      <c r="I4" s="84">
        <f>(H4-E4)*'[4]נתונים נוספים'!$B$3</f>
        <v>169084.35039625008</v>
      </c>
      <c r="J4" s="85">
        <f t="shared" si="1"/>
        <v>352084.78155274194</v>
      </c>
      <c r="K4" s="84">
        <f>VLOOKUP(F4,'[4]נתונים נוספים'!$A$7:$D$12,VLOOKUP([4]השקעות!C4,'[4]נתונים נוספים'!$F$7:$G$9,2,0),0)*'[4]נתונים נוספים'!$B$3*H4</f>
        <v>143051.36255943749</v>
      </c>
      <c r="L4" s="86" t="str">
        <f t="shared" si="2"/>
        <v>ספטמבר</v>
      </c>
      <c r="M4" s="87">
        <f t="shared" si="0"/>
        <v>43261</v>
      </c>
      <c r="N4" s="260"/>
      <c r="P4" s="88"/>
      <c r="S4" s="89"/>
      <c r="T4" s="90"/>
      <c r="Z4" s="238"/>
      <c r="AA4" s="238">
        <v>65000</v>
      </c>
      <c r="AB4" s="238" t="s">
        <v>331</v>
      </c>
      <c r="AC4" s="238"/>
      <c r="AD4" s="238"/>
      <c r="AE4" s="238">
        <v>65000</v>
      </c>
      <c r="AF4" s="238"/>
      <c r="AG4" s="238"/>
    </row>
    <row r="5" spans="1:33" x14ac:dyDescent="0.25">
      <c r="A5" s="79">
        <v>1858</v>
      </c>
      <c r="B5" s="79" t="s">
        <v>332</v>
      </c>
      <c r="C5" s="79" t="s">
        <v>326</v>
      </c>
      <c r="D5" s="80">
        <v>42367</v>
      </c>
      <c r="E5" s="81">
        <v>70131</v>
      </c>
      <c r="F5" s="79">
        <v>14</v>
      </c>
      <c r="G5" s="82">
        <v>1E-3</v>
      </c>
      <c r="H5" s="83">
        <v>332458.09982047207</v>
      </c>
      <c r="I5" s="84">
        <f>(H5-E5)*'[4]נתונים נוספים'!$B$3</f>
        <v>813214.00944346341</v>
      </c>
      <c r="J5" s="85">
        <f t="shared" si="1"/>
        <v>382020.95334170799</v>
      </c>
      <c r="K5" s="84">
        <f>VLOOKUP(F5,'[4]נתונים נוספים'!$A$7:$D$12,VLOOKUP([4]השקעות!C5,'[4]נתונים נוספים'!$F$7:$G$9,2,0),0)*'[4]נתונים נוספים'!$B$3*H5</f>
        <v>164899.21751095416</v>
      </c>
      <c r="L5" s="86" t="str">
        <f t="shared" si="2"/>
        <v>דצמבר</v>
      </c>
      <c r="M5" s="87">
        <f t="shared" si="0"/>
        <v>44649</v>
      </c>
      <c r="N5" s="260"/>
      <c r="P5" s="88"/>
      <c r="S5" s="89"/>
      <c r="T5" s="90"/>
      <c r="Z5" s="238"/>
      <c r="AA5" s="238"/>
      <c r="AB5" s="238"/>
      <c r="AC5" s="238"/>
      <c r="AD5" s="238"/>
      <c r="AE5" s="238" t="s">
        <v>331</v>
      </c>
      <c r="AF5" s="238"/>
      <c r="AG5" s="238"/>
    </row>
    <row r="6" spans="1:33" x14ac:dyDescent="0.25">
      <c r="A6" s="79">
        <v>1859</v>
      </c>
      <c r="B6" s="79" t="s">
        <v>333</v>
      </c>
      <c r="C6" s="79" t="s">
        <v>326</v>
      </c>
      <c r="D6" s="80">
        <v>43866</v>
      </c>
      <c r="E6" s="81">
        <v>63372</v>
      </c>
      <c r="F6" s="79">
        <v>15</v>
      </c>
      <c r="G6" s="82">
        <v>1E-3</v>
      </c>
      <c r="H6" s="83">
        <v>1229261.9753939065</v>
      </c>
      <c r="I6" s="84">
        <f>(H6-E6)*'[4]נתונים נוספים'!$B$3</f>
        <v>3614258.92372111</v>
      </c>
      <c r="J6" s="85">
        <f t="shared" si="1"/>
        <v>1412520.3506856298</v>
      </c>
      <c r="K6" s="84">
        <f>VLOOKUP(F6,'[4]נתונים נוספים'!$A$7:$D$12,VLOOKUP([4]השקעות!C6,'[4]נתונים נוספים'!$F$7:$G$9,2,0),0)*'[4]נתונים נוספים'!$B$3*H6</f>
        <v>819303.10660003859</v>
      </c>
      <c r="L6" s="86" t="str">
        <f t="shared" si="2"/>
        <v>פברואר</v>
      </c>
      <c r="M6" s="87">
        <f t="shared" si="0"/>
        <v>44625</v>
      </c>
      <c r="N6" s="260"/>
      <c r="P6" s="88"/>
      <c r="S6" s="89"/>
      <c r="T6" s="90"/>
      <c r="Z6" s="238"/>
      <c r="AA6" s="238"/>
      <c r="AB6" s="238"/>
      <c r="AC6" s="238"/>
      <c r="AD6" s="238"/>
      <c r="AE6" s="238"/>
      <c r="AF6" s="238"/>
      <c r="AG6" s="238"/>
    </row>
    <row r="7" spans="1:33" x14ac:dyDescent="0.25">
      <c r="A7" s="79">
        <v>1860</v>
      </c>
      <c r="B7" s="79" t="s">
        <v>334</v>
      </c>
      <c r="C7" s="79" t="s">
        <v>329</v>
      </c>
      <c r="D7" s="80">
        <v>43604</v>
      </c>
      <c r="E7" s="81">
        <v>72483</v>
      </c>
      <c r="F7" s="79">
        <v>15</v>
      </c>
      <c r="G7" s="82">
        <v>1E-3</v>
      </c>
      <c r="H7" s="83">
        <v>1877660.4186721272</v>
      </c>
      <c r="I7" s="84">
        <f>(H7-E7)*'[4]נתונים נוספים'!$B$3</f>
        <v>5596049.9978835946</v>
      </c>
      <c r="J7" s="85">
        <f t="shared" si="1"/>
        <v>2157582.0338877677</v>
      </c>
      <c r="K7" s="84">
        <f>VLOOKUP(F7,'[4]נתונים נוספים'!$A$7:$D$12,VLOOKUP([4]השקעות!C7,'[4]נתונים נוספים'!$F$7:$G$9,2,0),0)*'[4]נתונים נוספים'!$B$3*H7</f>
        <v>582074.72978835949</v>
      </c>
      <c r="L7" s="86" t="str">
        <f t="shared" si="2"/>
        <v>מאי</v>
      </c>
      <c r="M7" s="87">
        <f t="shared" si="0"/>
        <v>44639</v>
      </c>
      <c r="N7" s="260"/>
      <c r="P7" s="88"/>
      <c r="S7" s="89"/>
      <c r="T7" s="90"/>
      <c r="Z7" s="238"/>
      <c r="AA7" s="238"/>
      <c r="AB7" s="238"/>
      <c r="AC7" s="238"/>
      <c r="AD7" s="238"/>
      <c r="AE7" s="238">
        <v>65000</v>
      </c>
      <c r="AF7" s="238"/>
      <c r="AG7" s="238"/>
    </row>
    <row r="8" spans="1:33" x14ac:dyDescent="0.25">
      <c r="A8" s="79">
        <v>1861</v>
      </c>
      <c r="B8" s="79" t="s">
        <v>335</v>
      </c>
      <c r="C8" s="79" t="s">
        <v>329</v>
      </c>
      <c r="D8" s="80">
        <v>42562</v>
      </c>
      <c r="E8" s="81">
        <v>108877</v>
      </c>
      <c r="F8" s="79">
        <v>13</v>
      </c>
      <c r="G8" s="82">
        <v>2.8999999999999998E-3</v>
      </c>
      <c r="H8" s="83">
        <v>986671.12314671697</v>
      </c>
      <c r="I8" s="84">
        <f>(H8-E8)*'[4]נתונים נוספים'!$B$3</f>
        <v>2721161.7817548225</v>
      </c>
      <c r="J8" s="85">
        <f t="shared" si="1"/>
        <v>1132039.3530621689</v>
      </c>
      <c r="K8" s="84">
        <f>VLOOKUP(F8,'[4]נתונים נוספים'!$A$7:$D$12,VLOOKUP([4]השקעות!C8,'[4]נתונים נוספים'!$F$7:$G$9,2,0),0)*'[4]נתונים נוספים'!$B$3*H8</f>
        <v>657616.30357728689</v>
      </c>
      <c r="L8" s="86" t="str">
        <f t="shared" si="2"/>
        <v>יולי</v>
      </c>
      <c r="M8" s="87">
        <f t="shared" si="0"/>
        <v>42817</v>
      </c>
      <c r="N8" s="260"/>
      <c r="P8" s="88"/>
      <c r="S8" s="89"/>
      <c r="T8" s="90"/>
      <c r="Z8" s="238"/>
      <c r="AA8" s="238" t="s">
        <v>336</v>
      </c>
      <c r="AB8" s="238"/>
      <c r="AC8" s="238"/>
      <c r="AD8" s="238"/>
      <c r="AE8" s="238" t="s">
        <v>359</v>
      </c>
      <c r="AF8" s="238"/>
      <c r="AG8" s="238"/>
    </row>
    <row r="9" spans="1:33" x14ac:dyDescent="0.25">
      <c r="A9" s="79">
        <v>1862</v>
      </c>
      <c r="B9" s="79" t="s">
        <v>337</v>
      </c>
      <c r="C9" s="79" t="s">
        <v>329</v>
      </c>
      <c r="D9" s="80">
        <v>44321</v>
      </c>
      <c r="E9" s="81">
        <v>96681</v>
      </c>
      <c r="F9" s="79">
        <v>10</v>
      </c>
      <c r="G9" s="82">
        <v>7.0000000000000001E-3</v>
      </c>
      <c r="H9" s="83">
        <v>191421.76696540037</v>
      </c>
      <c r="I9" s="84">
        <f>(H9-E9)*'[4]נתונים נוספים'!$B$3</f>
        <v>293696.37759274116</v>
      </c>
      <c r="J9" s="85">
        <f t="shared" si="1"/>
        <v>218902.27583095324</v>
      </c>
      <c r="K9" s="84">
        <f>VLOOKUP(F9,'[4]נתונים נוספים'!$A$7:$D$12,VLOOKUP([4]השקעות!C9,'[4]נתונים נוספים'!$F$7:$G$9,2,0),0)*'[4]נתונים נוספים'!$B$3*H9</f>
        <v>89011.121638911165</v>
      </c>
      <c r="L9" s="86" t="str">
        <f t="shared" si="2"/>
        <v>מאי</v>
      </c>
      <c r="M9" s="87">
        <f t="shared" si="0"/>
        <v>44578</v>
      </c>
      <c r="N9" s="260"/>
      <c r="P9" s="88"/>
      <c r="S9" s="89"/>
      <c r="T9" s="90"/>
      <c r="Z9" s="238"/>
      <c r="AA9" s="238" t="s">
        <v>326</v>
      </c>
      <c r="AB9" s="238"/>
      <c r="AC9" s="238"/>
      <c r="AD9" s="238"/>
      <c r="AE9" s="238"/>
      <c r="AF9" s="238"/>
      <c r="AG9" s="238"/>
    </row>
    <row r="10" spans="1:33" x14ac:dyDescent="0.25">
      <c r="A10" s="79">
        <v>1863</v>
      </c>
      <c r="B10" s="79" t="s">
        <v>338</v>
      </c>
      <c r="C10" s="79" t="s">
        <v>329</v>
      </c>
      <c r="D10" s="80">
        <v>43400</v>
      </c>
      <c r="E10" s="81">
        <v>66590</v>
      </c>
      <c r="F10" s="79">
        <v>15</v>
      </c>
      <c r="G10" s="82">
        <v>1E-3</v>
      </c>
      <c r="H10" s="83">
        <v>377756.68354481296</v>
      </c>
      <c r="I10" s="84">
        <f>(H10-E10)*'[4]נתונים נוספים'!$B$3</f>
        <v>964616.71898892021</v>
      </c>
      <c r="J10" s="85">
        <f t="shared" si="1"/>
        <v>434072.64992767363</v>
      </c>
      <c r="K10" s="84">
        <f>VLOOKUP(F10,'[4]נתונים נוספים'!$A$7:$D$12,VLOOKUP([4]השקעות!C10,'[4]נתונים נוספים'!$F$7:$G$9,2,0),0)*'[4]נתונים נוספים'!$B$3*H10</f>
        <v>117104.57189889204</v>
      </c>
      <c r="L10" s="86" t="str">
        <f t="shared" si="2"/>
        <v>אוקטובר</v>
      </c>
      <c r="M10" s="87">
        <f t="shared" si="0"/>
        <v>44647</v>
      </c>
      <c r="N10" s="260"/>
      <c r="P10" s="88"/>
      <c r="S10" s="89"/>
      <c r="T10" s="90"/>
      <c r="Z10" s="238"/>
      <c r="AA10" s="238">
        <v>2013</v>
      </c>
      <c r="AB10" s="238" t="s">
        <v>339</v>
      </c>
      <c r="AC10" s="238"/>
      <c r="AD10" s="238"/>
      <c r="AE10" s="238" t="s">
        <v>326</v>
      </c>
      <c r="AF10" s="238"/>
      <c r="AG10" s="238"/>
    </row>
    <row r="11" spans="1:33" x14ac:dyDescent="0.25">
      <c r="A11" s="79">
        <v>1864</v>
      </c>
      <c r="B11" s="79" t="s">
        <v>340</v>
      </c>
      <c r="C11" s="79" t="s">
        <v>341</v>
      </c>
      <c r="D11" s="80">
        <v>43977</v>
      </c>
      <c r="E11" s="81">
        <v>224708</v>
      </c>
      <c r="F11" s="79">
        <v>10</v>
      </c>
      <c r="G11" s="82">
        <v>6.0000000000000001E-3</v>
      </c>
      <c r="H11" s="83">
        <v>3453180.5195543682</v>
      </c>
      <c r="I11" s="84">
        <f>(H11-E11)*'[4]נתונים נוספים'!$B$3</f>
        <v>10008264.810618542</v>
      </c>
      <c r="J11" s="85">
        <f t="shared" si="1"/>
        <v>3952096.0410195831</v>
      </c>
      <c r="K11" s="84">
        <f>VLOOKUP(F11,'[4]נתונים נוספים'!$A$7:$D$12,VLOOKUP([4]השקעות!C11,'[4]נתונים נוספים'!$F$7:$G$9,2,0),0)*'[4]נתונים נוספים'!$B$3*H11</f>
        <v>1070485.9610618544</v>
      </c>
      <c r="L11" s="86" t="str">
        <f t="shared" si="2"/>
        <v>מאי</v>
      </c>
      <c r="M11" s="87">
        <f t="shared" si="0"/>
        <v>44234</v>
      </c>
      <c r="N11" s="260"/>
      <c r="P11" s="88"/>
      <c r="S11" s="89"/>
      <c r="T11" s="90"/>
      <c r="Z11" s="238"/>
      <c r="AA11" s="238"/>
      <c r="AB11" s="238"/>
      <c r="AC11" s="238"/>
      <c r="AD11" s="238"/>
      <c r="AE11" s="238">
        <v>2013</v>
      </c>
      <c r="AF11" s="238" t="s">
        <v>339</v>
      </c>
      <c r="AG11" s="238"/>
    </row>
    <row r="12" spans="1:33" x14ac:dyDescent="0.25">
      <c r="A12" s="79">
        <v>1865</v>
      </c>
      <c r="B12" s="79" t="s">
        <v>342</v>
      </c>
      <c r="C12" s="79" t="s">
        <v>326</v>
      </c>
      <c r="D12" s="80">
        <v>44029</v>
      </c>
      <c r="E12" s="81">
        <v>49492</v>
      </c>
      <c r="F12" s="79">
        <v>14</v>
      </c>
      <c r="G12" s="82">
        <v>1.1000000000000001E-3</v>
      </c>
      <c r="H12" s="83">
        <v>2044762.0534205888</v>
      </c>
      <c r="I12" s="84">
        <f>(H12-E12)*'[4]נתונים נוספים'!$B$3</f>
        <v>6185337.1656038258</v>
      </c>
      <c r="J12" s="85">
        <f t="shared" si="1"/>
        <v>2349407.0622356152</v>
      </c>
      <c r="K12" s="84">
        <f>VLOOKUP(F12,'[4]נתונים נוספים'!$A$7:$D$12,VLOOKUP([4]השקעות!C12,'[4]נתונים נוספים'!$F$7:$G$9,2,0),0)*'[4]נתונים נוספים'!$B$3*H12</f>
        <v>1014201.9784966122</v>
      </c>
      <c r="L12" s="86" t="str">
        <f t="shared" si="2"/>
        <v>יולי</v>
      </c>
      <c r="M12" s="87">
        <f t="shared" si="0"/>
        <v>44773</v>
      </c>
      <c r="N12" s="260"/>
      <c r="P12" s="88"/>
      <c r="S12" s="89"/>
      <c r="T12" s="90"/>
      <c r="Z12" s="238"/>
      <c r="AA12" s="238"/>
      <c r="AB12" s="238"/>
      <c r="AC12" s="238"/>
      <c r="AD12" s="238"/>
      <c r="AE12" s="238">
        <v>2016</v>
      </c>
      <c r="AF12" s="238" t="s">
        <v>360</v>
      </c>
      <c r="AG12" s="238"/>
    </row>
    <row r="13" spans="1:33" x14ac:dyDescent="0.25">
      <c r="A13" s="79">
        <v>1866</v>
      </c>
      <c r="B13" s="79" t="s">
        <v>343</v>
      </c>
      <c r="C13" s="79" t="s">
        <v>326</v>
      </c>
      <c r="D13" s="80">
        <v>40661</v>
      </c>
      <c r="E13" s="81">
        <v>76982</v>
      </c>
      <c r="F13" s="79">
        <v>13</v>
      </c>
      <c r="G13" s="82">
        <v>3.8999999999999998E-3</v>
      </c>
      <c r="H13" s="83">
        <v>2617985.4305046364</v>
      </c>
      <c r="I13" s="84">
        <f>(H13-E13)*'[4]נתונים נוספים'!$B$3</f>
        <v>7877110.6345643727</v>
      </c>
      <c r="J13" s="85">
        <f t="shared" si="1"/>
        <v>3001289.9133556811</v>
      </c>
      <c r="K13" s="84">
        <f>VLOOKUP(F13,'[4]נתונים נוספים'!$A$7:$D$12,VLOOKUP([4]השקעות!C13,'[4]נתונים נוספים'!$F$7:$G$9,2,0),0)*'[4]נתונים נוספים'!$B$3*H13</f>
        <v>1866623.6119498059</v>
      </c>
      <c r="L13" s="86" t="str">
        <f t="shared" si="2"/>
        <v>אפריל</v>
      </c>
      <c r="M13" s="87">
        <f t="shared" si="0"/>
        <v>40917</v>
      </c>
      <c r="N13" s="260"/>
      <c r="P13" s="88"/>
      <c r="S13" s="89"/>
      <c r="T13" s="90"/>
      <c r="Z13" s="238"/>
      <c r="AA13" s="238" t="s">
        <v>344</v>
      </c>
      <c r="AB13" s="238"/>
      <c r="AC13" s="238"/>
      <c r="AD13" s="238"/>
      <c r="AE13" s="238"/>
      <c r="AF13" s="238" t="s">
        <v>362</v>
      </c>
      <c r="AG13" s="238"/>
    </row>
    <row r="14" spans="1:33" x14ac:dyDescent="0.25">
      <c r="A14" s="79">
        <v>1867</v>
      </c>
      <c r="B14" s="79" t="s">
        <v>345</v>
      </c>
      <c r="C14" s="79" t="s">
        <v>341</v>
      </c>
      <c r="D14" s="80">
        <v>40434</v>
      </c>
      <c r="E14" s="81">
        <v>184883</v>
      </c>
      <c r="F14" s="79">
        <v>10</v>
      </c>
      <c r="G14" s="82">
        <v>6.0000000000000001E-3</v>
      </c>
      <c r="H14" s="83">
        <v>2226133.6383189736</v>
      </c>
      <c r="I14" s="84">
        <f>(H14-E14)*'[4]נתונים נוספים'!$B$3</f>
        <v>6327876.9787888182</v>
      </c>
      <c r="J14" s="85">
        <f t="shared" si="1"/>
        <v>2547765.4263832988</v>
      </c>
      <c r="K14" s="84">
        <f>VLOOKUP(F14,'[4]נתונים נוספים'!$A$7:$D$12,VLOOKUP([4]השקעות!C14,'[4]נתונים נוספים'!$F$7:$G$9,2,0),0)*'[4]נתונים נוספים'!$B$3*H14</f>
        <v>690101.42787888192</v>
      </c>
      <c r="L14" s="86" t="str">
        <f t="shared" si="2"/>
        <v>ספטמבר</v>
      </c>
      <c r="M14" s="87">
        <f t="shared" si="0"/>
        <v>40688</v>
      </c>
      <c r="N14" s="260"/>
      <c r="P14" s="88"/>
      <c r="Z14" s="238"/>
      <c r="AA14" s="238" t="s">
        <v>346</v>
      </c>
      <c r="AB14" s="238"/>
      <c r="AC14" s="238"/>
      <c r="AD14" s="238"/>
      <c r="AE14" s="238"/>
      <c r="AF14" s="238"/>
      <c r="AG14" s="238"/>
    </row>
    <row r="15" spans="1:33" x14ac:dyDescent="0.25">
      <c r="A15" s="79">
        <v>1868</v>
      </c>
      <c r="B15" s="79" t="s">
        <v>347</v>
      </c>
      <c r="C15" s="79" t="s">
        <v>341</v>
      </c>
      <c r="D15" s="80">
        <v>41924</v>
      </c>
      <c r="E15" s="81">
        <v>8780</v>
      </c>
      <c r="F15" s="79">
        <v>10</v>
      </c>
      <c r="G15" s="82">
        <v>8.9999999999999993E-3</v>
      </c>
      <c r="H15" s="83">
        <v>122381.75185310727</v>
      </c>
      <c r="I15" s="84">
        <f>(H15-E15)*'[4]נתונים נוספים'!$B$3</f>
        <v>352165.43074463255</v>
      </c>
      <c r="J15" s="85">
        <f t="shared" si="1"/>
        <v>139725.69372572962</v>
      </c>
      <c r="K15" s="84">
        <f>VLOOKUP(F15,'[4]נתונים נוספים'!$A$7:$D$12,VLOOKUP([4]השקעות!C15,'[4]נתונים נוספים'!$F$7:$G$9,2,0),0)*'[4]נתונים נוספים'!$B$3*H15</f>
        <v>37938.343074463257</v>
      </c>
      <c r="L15" s="86" t="str">
        <f t="shared" si="2"/>
        <v>אוקטובר</v>
      </c>
      <c r="M15" s="87">
        <f t="shared" si="0"/>
        <v>42179</v>
      </c>
      <c r="N15" s="260"/>
      <c r="P15" s="88"/>
      <c r="Z15" s="238"/>
      <c r="AA15" s="238"/>
      <c r="AB15" s="238"/>
      <c r="AC15" s="238"/>
      <c r="AD15" s="238"/>
      <c r="AE15" s="238"/>
      <c r="AF15" s="238"/>
      <c r="AG15" s="238"/>
    </row>
    <row r="16" spans="1:33" x14ac:dyDescent="0.25">
      <c r="A16" s="79">
        <v>1869</v>
      </c>
      <c r="B16" s="79" t="s">
        <v>348</v>
      </c>
      <c r="C16" s="79" t="s">
        <v>326</v>
      </c>
      <c r="D16" s="80">
        <v>41231</v>
      </c>
      <c r="E16" s="81">
        <v>46900</v>
      </c>
      <c r="F16" s="79">
        <v>14</v>
      </c>
      <c r="G16" s="82">
        <v>1.1000000000000001E-3</v>
      </c>
      <c r="H16" s="83">
        <v>80582.931834117058</v>
      </c>
      <c r="I16" s="84">
        <f>(H16-E16)*'[4]נתונים נוספים'!$B$3</f>
        <v>104417.08868576288</v>
      </c>
      <c r="J16" s="85">
        <f t="shared" si="1"/>
        <v>92588.821682218491</v>
      </c>
      <c r="K16" s="84">
        <f>VLOOKUP(F16,'[4]נתונים נוספים'!$A$7:$D$12,VLOOKUP([4]השקעות!C16,'[4]נתונים נוספים'!$F$7:$G$9,2,0),0)*'[4]נתונים נוספים'!$B$3*H16</f>
        <v>39969.134189722063</v>
      </c>
      <c r="L16" s="86" t="str">
        <f t="shared" si="2"/>
        <v>נובמבר</v>
      </c>
      <c r="M16" s="87">
        <f t="shared" si="0"/>
        <v>41973</v>
      </c>
      <c r="N16" s="260"/>
      <c r="P16" s="88"/>
      <c r="Z16" s="238"/>
      <c r="AA16" s="238"/>
      <c r="AB16" s="238"/>
      <c r="AC16" s="238"/>
      <c r="AD16" s="238"/>
      <c r="AE16" s="238" t="s">
        <v>346</v>
      </c>
      <c r="AF16" s="238"/>
      <c r="AG16" s="238"/>
    </row>
    <row r="17" spans="1:33" x14ac:dyDescent="0.25">
      <c r="A17" s="79">
        <v>1870</v>
      </c>
      <c r="B17" s="79" t="s">
        <v>349</v>
      </c>
      <c r="C17" s="79" t="s">
        <v>326</v>
      </c>
      <c r="D17" s="80">
        <v>41419</v>
      </c>
      <c r="E17" s="81">
        <v>162174</v>
      </c>
      <c r="F17" s="79">
        <v>14</v>
      </c>
      <c r="G17" s="82">
        <v>8.0000000000000004E-4</v>
      </c>
      <c r="H17" s="83">
        <v>1078268.712803452</v>
      </c>
      <c r="I17" s="84">
        <f>(H17-E17)*'[4]נתונים נוספים'!$B$3</f>
        <v>2839893.6096907016</v>
      </c>
      <c r="J17" s="85">
        <f t="shared" si="1"/>
        <v>1239215.4139513464</v>
      </c>
      <c r="K17" s="84">
        <f>VLOOKUP(F17,'[4]נתונים נוספים'!$A$7:$D$12,VLOOKUP([4]השקעות!C17,'[4]נתונים נוספים'!$F$7:$G$9,2,0),0)*'[4]נתונים נוספים'!$B$3*H17</f>
        <v>534821.2815505123</v>
      </c>
      <c r="L17" s="86" t="str">
        <f t="shared" si="2"/>
        <v>מאי</v>
      </c>
      <c r="M17" s="87">
        <f t="shared" si="0"/>
        <v>44645</v>
      </c>
      <c r="N17" s="260"/>
      <c r="P17" s="88"/>
      <c r="Z17" s="238"/>
      <c r="AA17" s="238"/>
      <c r="AB17" s="238"/>
      <c r="AC17" s="238"/>
      <c r="AD17" s="238"/>
      <c r="AE17" s="238"/>
      <c r="AF17" s="238"/>
      <c r="AG17" s="238"/>
    </row>
    <row r="18" spans="1:33" x14ac:dyDescent="0.25">
      <c r="A18" s="79">
        <v>1871</v>
      </c>
      <c r="B18" s="79" t="s">
        <v>350</v>
      </c>
      <c r="C18" s="79" t="s">
        <v>326</v>
      </c>
      <c r="D18" s="80">
        <v>41617</v>
      </c>
      <c r="E18" s="81">
        <v>10321</v>
      </c>
      <c r="F18" s="79">
        <v>14</v>
      </c>
      <c r="G18" s="82">
        <v>1.1000000000000001E-3</v>
      </c>
      <c r="H18" s="83">
        <v>372444.86881914415</v>
      </c>
      <c r="I18" s="84">
        <f>(H18-E18)*'[4]נתונים נוספים'!$B$3</f>
        <v>1122583.993339347</v>
      </c>
      <c r="J18" s="85">
        <f t="shared" si="1"/>
        <v>427934.68493477075</v>
      </c>
      <c r="K18" s="84">
        <f>VLOOKUP(F18,'[4]נתונים נוספים'!$A$7:$D$12,VLOOKUP([4]השקעות!C18,'[4]נתונים נוספים'!$F$7:$G$9,2,0),0)*'[4]נתונים נוספים'!$B$3*H18</f>
        <v>184732.65493429551</v>
      </c>
      <c r="L18" s="86" t="str">
        <f t="shared" si="2"/>
        <v>דצמבר</v>
      </c>
      <c r="M18" s="87">
        <f t="shared" si="0"/>
        <v>42369</v>
      </c>
      <c r="N18" s="260"/>
      <c r="P18" s="88"/>
      <c r="Z18" s="238"/>
      <c r="AA18" s="238"/>
      <c r="AB18" s="238"/>
      <c r="AC18" s="238"/>
      <c r="AD18" s="238"/>
      <c r="AE18" s="238"/>
      <c r="AF18" s="238"/>
      <c r="AG18" s="238"/>
    </row>
    <row r="19" spans="1:33" x14ac:dyDescent="0.25">
      <c r="A19" s="79">
        <v>1872</v>
      </c>
      <c r="B19" s="79" t="s">
        <v>351</v>
      </c>
      <c r="C19" s="79" t="s">
        <v>326</v>
      </c>
      <c r="D19" s="80">
        <v>43638</v>
      </c>
      <c r="E19" s="81">
        <v>56091</v>
      </c>
      <c r="F19" s="79">
        <v>15</v>
      </c>
      <c r="G19" s="82">
        <v>1E-3</v>
      </c>
      <c r="H19" s="83">
        <v>1453028.3037917621</v>
      </c>
      <c r="I19" s="84">
        <f>(H19-E19)*'[4]נתונים נוספים'!$B$3</f>
        <v>4330505.6417544624</v>
      </c>
      <c r="J19" s="85">
        <f t="shared" si="1"/>
        <v>1669645.7633210379</v>
      </c>
      <c r="K19" s="84">
        <f>VLOOKUP(F19,'[4]נתונים נוספים'!$A$7:$D$12,VLOOKUP([4]השקעות!C19,'[4]נתונים נוספים'!$F$7:$G$9,2,0),0)*'[4]נתונים נוספים'!$B$3*H19</f>
        <v>968443.3644772094</v>
      </c>
      <c r="L19" s="86" t="str">
        <f t="shared" si="2"/>
        <v>יוני</v>
      </c>
      <c r="M19" s="87">
        <f t="shared" si="0"/>
        <v>44642</v>
      </c>
      <c r="N19" s="260"/>
      <c r="P19" s="88"/>
    </row>
    <row r="20" spans="1:33" x14ac:dyDescent="0.25">
      <c r="A20" s="79">
        <v>1873</v>
      </c>
      <c r="B20" s="79" t="s">
        <v>352</v>
      </c>
      <c r="C20" s="79" t="s">
        <v>329</v>
      </c>
      <c r="D20" s="80">
        <v>43291</v>
      </c>
      <c r="E20" s="81">
        <v>12866</v>
      </c>
      <c r="F20" s="79">
        <v>10</v>
      </c>
      <c r="G20" s="82">
        <v>8.0000000000000002E-3</v>
      </c>
      <c r="H20" s="83">
        <v>133822.73527755728</v>
      </c>
      <c r="I20" s="84">
        <f>(H20-E20)*'[4]נתונים נוספים'!$B$3</f>
        <v>374965.87936042756</v>
      </c>
      <c r="J20" s="85">
        <f t="shared" si="1"/>
        <v>152911.21023754805</v>
      </c>
      <c r="K20" s="84">
        <f>VLOOKUP(F20,'[4]נתונים נוספים'!$A$7:$D$12,VLOOKUP([4]השקעות!C20,'[4]נתונים נוספים'!$F$7:$G$9,2,0),0)*'[4]נתונים נוספים'!$B$3*H20</f>
        <v>62227.571904064134</v>
      </c>
      <c r="L20" s="86" t="str">
        <f t="shared" si="2"/>
        <v>יולי</v>
      </c>
      <c r="M20" s="87">
        <f t="shared" si="0"/>
        <v>43546</v>
      </c>
      <c r="N20" s="260"/>
      <c r="P20" s="88"/>
    </row>
    <row r="21" spans="1:33" x14ac:dyDescent="0.25">
      <c r="A21" s="79">
        <v>1874</v>
      </c>
      <c r="B21" s="79" t="s">
        <v>353</v>
      </c>
      <c r="C21" s="79" t="s">
        <v>329</v>
      </c>
      <c r="D21" s="80">
        <v>43282</v>
      </c>
      <c r="E21" s="81">
        <v>71270</v>
      </c>
      <c r="F21" s="79">
        <v>13</v>
      </c>
      <c r="G21" s="82">
        <v>3.8999999999999998E-3</v>
      </c>
      <c r="H21" s="83">
        <v>142479.52031448073</v>
      </c>
      <c r="I21" s="84">
        <f>(H21-E21)*'[4]נתונים נוספים'!$B$3</f>
        <v>220749.51297489027</v>
      </c>
      <c r="J21" s="85">
        <f t="shared" si="1"/>
        <v>163340.23184276445</v>
      </c>
      <c r="K21" s="84">
        <f>VLOOKUP(F21,'[4]נתונים נוספים'!$A$7:$D$12,VLOOKUP([4]השקעות!C21,'[4]נתונים נוספים'!$F$7:$G$9,2,0),0)*'[4]נתונים נוספים'!$B$3*H21</f>
        <v>94962.600289601411</v>
      </c>
      <c r="L21" s="86" t="str">
        <f t="shared" si="2"/>
        <v>יולי</v>
      </c>
      <c r="M21" s="87">
        <f t="shared" si="0"/>
        <v>43537</v>
      </c>
      <c r="N21" s="260"/>
      <c r="P21" s="88"/>
    </row>
    <row r="22" spans="1:33" x14ac:dyDescent="0.25">
      <c r="A22" s="79">
        <v>1875</v>
      </c>
      <c r="B22" s="79" t="s">
        <v>354</v>
      </c>
      <c r="C22" s="79" t="s">
        <v>329</v>
      </c>
      <c r="D22" s="80">
        <v>43497</v>
      </c>
      <c r="E22" s="81">
        <v>10129</v>
      </c>
      <c r="F22" s="79">
        <v>14</v>
      </c>
      <c r="G22" s="82">
        <v>1.1000000000000001E-3</v>
      </c>
      <c r="H22" s="83">
        <v>22812.44860458418</v>
      </c>
      <c r="I22" s="84">
        <f>(H22-E22)*'[4]נתונים נוספים'!$B$3</f>
        <v>39318.690674210964</v>
      </c>
      <c r="J22" s="85">
        <f t="shared" si="1"/>
        <v>26211.229697283965</v>
      </c>
      <c r="K22" s="84">
        <f>VLOOKUP(F22,'[4]נתונים נוספים'!$A$7:$D$12,VLOOKUP([4]השקעות!C22,'[4]נתונים נוספים'!$F$7:$G$9,2,0),0)*'[4]נתונים נוספים'!$B$3*H22</f>
        <v>10607.788601131644</v>
      </c>
      <c r="L22" s="86" t="str">
        <f t="shared" si="2"/>
        <v>פברואר</v>
      </c>
      <c r="M22" s="87">
        <f t="shared" si="0"/>
        <v>44621</v>
      </c>
      <c r="N22" s="260"/>
      <c r="P22" s="88"/>
    </row>
    <row r="23" spans="1:33" x14ac:dyDescent="0.25">
      <c r="A23" s="79">
        <v>1876</v>
      </c>
      <c r="B23" s="79" t="s">
        <v>355</v>
      </c>
      <c r="C23" s="79" t="s">
        <v>341</v>
      </c>
      <c r="D23" s="80">
        <v>42752</v>
      </c>
      <c r="E23" s="81">
        <v>143689</v>
      </c>
      <c r="F23" s="79">
        <v>13</v>
      </c>
      <c r="G23" s="82">
        <v>2.8999999999999998E-3</v>
      </c>
      <c r="H23" s="83">
        <v>1900016.8003544933</v>
      </c>
      <c r="I23" s="84">
        <f>(H23-E23)*'[4]נתונים נוספים'!$B$3</f>
        <v>5444616.1810989296</v>
      </c>
      <c r="J23" s="85">
        <f t="shared" si="1"/>
        <v>2179950.0755843213</v>
      </c>
      <c r="K23" s="84">
        <f>VLOOKUP(F23,'[4]נתונים נוספים'!$A$7:$D$12,VLOOKUP([4]השקעות!C23,'[4]נתונים נוספים'!$F$7:$G$9,2,0),0)*'[4]נתונים נוספים'!$B$3*H23</f>
        <v>1266361.1974362698</v>
      </c>
      <c r="L23" s="86" t="str">
        <f t="shared" si="2"/>
        <v>ינואר</v>
      </c>
      <c r="M23" s="87">
        <f t="shared" si="0"/>
        <v>43007</v>
      </c>
      <c r="N23" s="260"/>
      <c r="P23" s="88"/>
    </row>
    <row r="24" spans="1:33" x14ac:dyDescent="0.25">
      <c r="A24" s="79">
        <v>1877</v>
      </c>
      <c r="B24" s="79" t="s">
        <v>356</v>
      </c>
      <c r="C24" s="79" t="s">
        <v>341</v>
      </c>
      <c r="D24" s="80">
        <v>43140</v>
      </c>
      <c r="E24" s="81">
        <v>25719</v>
      </c>
      <c r="F24" s="79">
        <v>12</v>
      </c>
      <c r="G24" s="82">
        <v>5.7999999999999996E-3</v>
      </c>
      <c r="H24" s="83">
        <v>186489.11906743521</v>
      </c>
      <c r="I24" s="84">
        <f>(H24-E24)*'[4]נתונים נוספים'!$B$3</f>
        <v>498387.36910904915</v>
      </c>
      <c r="J24" s="85">
        <f t="shared" si="1"/>
        <v>213467.38098820666</v>
      </c>
      <c r="K24" s="84">
        <f>VLOOKUP(F24,'[4]נתונים נוספים'!$A$7:$D$12,VLOOKUP([4]השקעות!C24,'[4]נתונים נוספים'!$F$7:$G$9,2,0),0)*'[4]נתונים נוספים'!$B$3*H24</f>
        <v>132966.74189508133</v>
      </c>
      <c r="L24" s="86" t="str">
        <f t="shared" si="2"/>
        <v>פברואר</v>
      </c>
      <c r="M24" s="87">
        <f t="shared" si="0"/>
        <v>43394</v>
      </c>
      <c r="N24" s="260"/>
    </row>
    <row r="25" spans="1:33" x14ac:dyDescent="0.25">
      <c r="A25" s="79">
        <v>1878</v>
      </c>
      <c r="B25" s="79" t="s">
        <v>357</v>
      </c>
      <c r="C25" s="79" t="s">
        <v>326</v>
      </c>
      <c r="D25" s="80">
        <v>42629</v>
      </c>
      <c r="E25" s="81">
        <v>215746</v>
      </c>
      <c r="F25" s="79">
        <v>14</v>
      </c>
      <c r="G25" s="82">
        <v>8.0000000000000004E-4</v>
      </c>
      <c r="H25" s="83">
        <v>1094342.8807251898</v>
      </c>
      <c r="I25" s="84">
        <f>(H25-E25)*'[4]נתונים נוספים'!$B$3</f>
        <v>2723650.3302480886</v>
      </c>
      <c r="J25" s="85">
        <f t="shared" si="1"/>
        <v>1257688.8764737544</v>
      </c>
      <c r="K25" s="84">
        <f>VLOOKUP(F25,'[4]נתונים נוספים'!$A$7:$D$12,VLOOKUP([4]השקעות!C25,'[4]נתונים נוספים'!$F$7:$G$9,2,0),0)*'[4]נתונים נוספים'!$B$3*H25</f>
        <v>542794.06883969426</v>
      </c>
      <c r="L25" s="86" t="str">
        <f t="shared" si="2"/>
        <v>ספטמבר</v>
      </c>
      <c r="M25" s="87">
        <f t="shared" si="0"/>
        <v>44636</v>
      </c>
      <c r="N25" s="260"/>
    </row>
    <row r="26" spans="1:33" x14ac:dyDescent="0.25">
      <c r="A26" s="79">
        <v>1879</v>
      </c>
      <c r="B26" s="79" t="s">
        <v>358</v>
      </c>
      <c r="C26" s="79" t="s">
        <v>341</v>
      </c>
      <c r="D26" s="80">
        <v>40875</v>
      </c>
      <c r="E26" s="81">
        <v>131191</v>
      </c>
      <c r="F26" s="79">
        <v>10</v>
      </c>
      <c r="G26" s="82">
        <v>6.0000000000000001E-3</v>
      </c>
      <c r="H26" s="83">
        <v>203520.29998243746</v>
      </c>
      <c r="I26" s="84">
        <f>(H26-E26)*'[4]נתונים נוספים'!$B$3</f>
        <v>224220.82994555612</v>
      </c>
      <c r="J26" s="85">
        <f t="shared" si="1"/>
        <v>232924.91292389997</v>
      </c>
      <c r="K26" s="84">
        <f>VLOOKUP(F26,'[4]נתונים נוספים'!$A$7:$D$12,VLOOKUP([4]השקעות!C26,'[4]נתונים נוספים'!$F$7:$G$9,2,0),0)*'[4]נתונים נוספים'!$B$3*H26</f>
        <v>63091.292994555624</v>
      </c>
      <c r="L26" s="86" t="str">
        <f t="shared" si="2"/>
        <v>נובמבר</v>
      </c>
      <c r="M26" s="87">
        <f t="shared" si="0"/>
        <v>41130</v>
      </c>
      <c r="N26" s="260"/>
    </row>
    <row r="29" spans="1:33" x14ac:dyDescent="0.25">
      <c r="D29" s="95">
        <f>MIN(M2:M26)</f>
        <v>40688</v>
      </c>
      <c r="I29" s="96"/>
      <c r="J29" s="97">
        <v>0.15</v>
      </c>
      <c r="K29" s="84"/>
    </row>
    <row r="30" spans="1:33" x14ac:dyDescent="0.25">
      <c r="H30" s="96"/>
      <c r="I30" s="85"/>
      <c r="J30" s="97">
        <v>0.8</v>
      </c>
      <c r="K30" s="84"/>
    </row>
    <row r="31" spans="1:33" x14ac:dyDescent="0.25">
      <c r="B31" s="98" t="str">
        <f>INDEX(B2:B26,MATCH(MAX(H2:H26),H2:H26,0),1)</f>
        <v>LB</v>
      </c>
      <c r="H31" s="99"/>
      <c r="I31" s="96"/>
      <c r="J31" s="96"/>
      <c r="K31" s="96"/>
    </row>
    <row r="32" spans="1:33" x14ac:dyDescent="0.25">
      <c r="H32" s="96"/>
      <c r="Y32" s="238"/>
      <c r="Z32" s="238"/>
      <c r="AA32" s="238"/>
      <c r="AB32" s="238"/>
      <c r="AC32" s="238"/>
    </row>
    <row r="33" spans="1:29" x14ac:dyDescent="0.25">
      <c r="Y33" s="238"/>
      <c r="Z33" s="238"/>
      <c r="AA33" s="239"/>
      <c r="AB33" s="238">
        <v>2013</v>
      </c>
      <c r="AC33" s="238"/>
    </row>
    <row r="34" spans="1:29" x14ac:dyDescent="0.25">
      <c r="Y34" s="238"/>
      <c r="Z34" s="238"/>
      <c r="AA34" s="238" t="s">
        <v>326</v>
      </c>
      <c r="AB34" s="238" t="s">
        <v>326</v>
      </c>
      <c r="AC34" s="238"/>
    </row>
    <row r="35" spans="1:29" x14ac:dyDescent="0.25">
      <c r="A35" s="86">
        <v>10000</v>
      </c>
      <c r="B35" s="86">
        <f t="array" ref="B35:B39">FREQUENCY(E2:E26,A35:A38)</f>
        <v>2</v>
      </c>
      <c r="Y35" s="238"/>
      <c r="Z35" s="238"/>
      <c r="AA35" s="238">
        <v>55000</v>
      </c>
      <c r="AB35" s="238" t="s">
        <v>329</v>
      </c>
      <c r="AC35" s="238"/>
    </row>
    <row r="36" spans="1:29" x14ac:dyDescent="0.25">
      <c r="A36" s="86">
        <v>30000</v>
      </c>
      <c r="B36" s="86">
        <v>4</v>
      </c>
      <c r="Y36" s="238"/>
      <c r="Z36" s="238"/>
      <c r="AA36" s="238">
        <v>2</v>
      </c>
      <c r="AB36" s="238">
        <v>65000</v>
      </c>
      <c r="AC36" s="238"/>
    </row>
    <row r="37" spans="1:29" x14ac:dyDescent="0.25">
      <c r="A37" s="86">
        <v>50000</v>
      </c>
      <c r="B37" s="86">
        <v>2</v>
      </c>
      <c r="M37" s="91"/>
      <c r="Y37" s="238"/>
      <c r="Z37" s="238"/>
      <c r="AA37" s="238">
        <v>1</v>
      </c>
      <c r="AB37" s="238" t="s">
        <v>331</v>
      </c>
      <c r="AC37" s="238"/>
    </row>
    <row r="38" spans="1:29" x14ac:dyDescent="0.25">
      <c r="A38" s="86">
        <v>70000</v>
      </c>
      <c r="B38" s="86">
        <v>3</v>
      </c>
      <c r="M38" s="91"/>
      <c r="Y38" s="238"/>
      <c r="Z38" s="238"/>
      <c r="AA38" s="238">
        <v>0</v>
      </c>
      <c r="AB38" s="238" t="s">
        <v>359</v>
      </c>
      <c r="AC38" s="238"/>
    </row>
    <row r="39" spans="1:29" x14ac:dyDescent="0.25">
      <c r="B39" s="86">
        <v>14</v>
      </c>
      <c r="M39" s="92" t="s">
        <v>359</v>
      </c>
      <c r="Y39" s="238"/>
      <c r="Z39" s="238"/>
      <c r="AA39" s="238">
        <v>2022</v>
      </c>
      <c r="AB39" s="238">
        <v>2012</v>
      </c>
      <c r="AC39" s="238"/>
    </row>
    <row r="40" spans="1:29" x14ac:dyDescent="0.25">
      <c r="Y40" s="238"/>
      <c r="Z40" s="238"/>
      <c r="AA40" s="238">
        <v>3</v>
      </c>
      <c r="AB40" s="238">
        <v>2016</v>
      </c>
      <c r="AC40" s="238"/>
    </row>
    <row r="41" spans="1:29" x14ac:dyDescent="0.25">
      <c r="Y41" s="238"/>
      <c r="Z41" s="238"/>
      <c r="AA41" s="238">
        <v>8</v>
      </c>
      <c r="AB41" s="238" t="s">
        <v>339</v>
      </c>
      <c r="AC41" s="238"/>
    </row>
    <row r="42" spans="1:29" x14ac:dyDescent="0.25">
      <c r="Y42" s="238"/>
      <c r="Z42" s="238"/>
      <c r="AA42" s="238">
        <v>12</v>
      </c>
      <c r="AB42" s="238" t="s">
        <v>360</v>
      </c>
      <c r="AC42" s="238"/>
    </row>
    <row r="43" spans="1:29" x14ac:dyDescent="0.25">
      <c r="K43" s="93"/>
      <c r="L43" s="93"/>
      <c r="M43" s="93"/>
      <c r="P43" s="93"/>
      <c r="Y43" s="238"/>
      <c r="Z43" s="238"/>
      <c r="AA43" s="238">
        <v>14</v>
      </c>
      <c r="AB43" s="238" t="s">
        <v>361</v>
      </c>
      <c r="AC43" s="238"/>
    </row>
    <row r="44" spans="1:29" x14ac:dyDescent="0.25">
      <c r="K44" s="93"/>
      <c r="L44" s="93"/>
      <c r="M44" s="93"/>
      <c r="P44" s="93"/>
      <c r="Y44" s="238"/>
      <c r="Z44" s="238"/>
      <c r="AA44" s="238">
        <v>15</v>
      </c>
      <c r="AB44" s="238" t="s">
        <v>346</v>
      </c>
      <c r="AC44" s="238"/>
    </row>
    <row r="45" spans="1:29" x14ac:dyDescent="0.25">
      <c r="K45" s="94" t="s">
        <v>361</v>
      </c>
      <c r="L45" s="93">
        <v>2016</v>
      </c>
      <c r="M45" s="94" t="s">
        <v>360</v>
      </c>
      <c r="P45" s="93"/>
      <c r="Y45" s="238"/>
      <c r="Z45" s="238"/>
      <c r="AA45" s="238"/>
      <c r="AB45" s="238"/>
      <c r="AC45" s="238"/>
    </row>
    <row r="46" spans="1:29" x14ac:dyDescent="0.25">
      <c r="Y46" s="238"/>
      <c r="Z46" s="238"/>
      <c r="AA46" s="238"/>
      <c r="AB46" s="238"/>
      <c r="AC46" s="238"/>
    </row>
    <row r="47" spans="1:29" x14ac:dyDescent="0.25">
      <c r="Y47" s="238"/>
      <c r="Z47" s="238"/>
      <c r="AA47" s="238"/>
      <c r="AB47" s="238"/>
      <c r="AC47" s="238"/>
    </row>
  </sheetData>
  <pageMargins left="0.7" right="0.7" top="0.75" bottom="0.75" header="0.3" footer="0.3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operator="containsText" id="{03DFDCAE-7964-476A-AD3F-F52DB6037007}">
            <xm:f>NOT(ISERROR(SEARCH($AB$38,N2)))</xm:f>
            <xm:f>$AB$38</xm:f>
            <x14:dxf>
              <font>
                <color theme="0"/>
              </font>
              <fill>
                <patternFill>
                  <bgColor theme="1" tint="4.9989318521683403E-2"/>
                </patternFill>
              </fill>
            </x14:dxf>
          </x14:cfRule>
          <xm:sqref>N2:N26</xm:sqref>
        </x14:conditionalFormatting>
      </x14:conditionalFormatting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4716C7-6CE3-488B-8607-126FC5BB43C0}">
  <dimension ref="A1:AK52"/>
  <sheetViews>
    <sheetView rightToLeft="1" topLeftCell="D1" zoomScale="95" zoomScaleNormal="95" workbookViewId="0">
      <selection activeCell="R3" sqref="R3"/>
    </sheetView>
  </sheetViews>
  <sheetFormatPr defaultColWidth="8.796875" defaultRowHeight="13.8" x14ac:dyDescent="0.25"/>
  <cols>
    <col min="1" max="1" width="10.796875" style="14" bestFit="1" customWidth="1"/>
    <col min="2" max="2" width="9.296875" style="14" bestFit="1" customWidth="1"/>
    <col min="3" max="3" width="12" style="14" bestFit="1" customWidth="1"/>
    <col min="4" max="4" width="22.296875" style="14" bestFit="1" customWidth="1"/>
    <col min="5" max="5" width="17.19921875" style="14" bestFit="1" customWidth="1"/>
    <col min="6" max="8" width="12" style="14" bestFit="1" customWidth="1"/>
    <col min="9" max="9" width="11.19921875" style="14" bestFit="1" customWidth="1"/>
    <col min="10" max="10" width="14" style="43" customWidth="1"/>
    <col min="11" max="11" width="11.796875" style="3" bestFit="1" customWidth="1"/>
    <col min="12" max="15" width="10.69921875" style="3" hidden="1" customWidth="1"/>
    <col min="16" max="16" width="10.796875" style="3" bestFit="1" customWidth="1"/>
    <col min="17" max="17" width="10.5" style="3" bestFit="1" customWidth="1"/>
    <col min="18" max="18" width="10.5" style="3" customWidth="1"/>
    <col min="19" max="19" width="12" style="3" bestFit="1" customWidth="1"/>
    <col min="20" max="20" width="13.19921875" style="3" bestFit="1" customWidth="1"/>
    <col min="21" max="16384" width="8.796875" style="3"/>
  </cols>
  <sheetData>
    <row r="1" spans="1:37" ht="55.2" x14ac:dyDescent="0.25">
      <c r="A1" s="71" t="s">
        <v>166</v>
      </c>
      <c r="B1" s="71" t="s">
        <v>120</v>
      </c>
      <c r="C1" s="71" t="s">
        <v>119</v>
      </c>
      <c r="D1" s="39" t="s">
        <v>167</v>
      </c>
      <c r="E1" s="62" t="s">
        <v>168</v>
      </c>
      <c r="F1" s="67" t="s">
        <v>169</v>
      </c>
      <c r="G1" s="67" t="s">
        <v>170</v>
      </c>
      <c r="H1" s="39" t="s">
        <v>171</v>
      </c>
      <c r="I1" s="66" t="s">
        <v>172</v>
      </c>
      <c r="J1" s="205" t="s">
        <v>305</v>
      </c>
      <c r="K1" s="41" t="s">
        <v>174</v>
      </c>
      <c r="L1" s="63" t="s">
        <v>175</v>
      </c>
      <c r="M1" s="65" t="s">
        <v>304</v>
      </c>
      <c r="N1" s="63" t="s">
        <v>302</v>
      </c>
      <c r="O1" s="64" t="s">
        <v>303</v>
      </c>
      <c r="P1" s="41" t="s">
        <v>176</v>
      </c>
      <c r="Q1" s="206"/>
      <c r="R1" s="70"/>
      <c r="S1" s="226"/>
      <c r="T1" s="227"/>
      <c r="U1" s="227"/>
      <c r="V1" s="227"/>
      <c r="W1" s="227"/>
      <c r="X1" s="227"/>
      <c r="Y1" s="227"/>
      <c r="Z1" s="227"/>
      <c r="AA1" s="227"/>
      <c r="AB1" s="227"/>
      <c r="AE1" s="189"/>
      <c r="AF1" s="189"/>
      <c r="AG1" s="189"/>
      <c r="AH1" s="189"/>
      <c r="AI1" s="189"/>
      <c r="AJ1" s="189"/>
      <c r="AK1" s="189"/>
    </row>
    <row r="2" spans="1:37" ht="27.6" x14ac:dyDescent="0.25">
      <c r="A2" s="14">
        <v>6056565</v>
      </c>
      <c r="B2" s="14" t="s">
        <v>179</v>
      </c>
      <c r="C2" s="14" t="s">
        <v>136</v>
      </c>
      <c r="D2" s="14" t="s">
        <v>180</v>
      </c>
      <c r="E2" s="42">
        <v>43604</v>
      </c>
      <c r="F2" s="14">
        <v>23</v>
      </c>
      <c r="G2" s="14" t="s">
        <v>181</v>
      </c>
      <c r="H2" s="14" t="s">
        <v>182</v>
      </c>
      <c r="I2" s="14">
        <v>60</v>
      </c>
      <c r="J2" s="207">
        <v>15750</v>
      </c>
      <c r="K2" s="44" cm="1">
        <f t="array" ref="K2">_xlfn.XLOOKUP(I2,$U$4:$U$8,_xlfn.XLOOKUP(H2,$V$3:$X$3,$V$4:$X$8,,0),,-1)*J2</f>
        <v>2835</v>
      </c>
      <c r="L2" s="11">
        <f t="shared" ref="L2:L36" si="0">IF(YEAR(E2)&lt;$U$19,DATE($U$20,MONTH(E2)-$U$22,$U$21),DATE(YEAR(E2)+$U$23,MONTH(E2)+$U$24,$U$25))</f>
        <v>45757</v>
      </c>
      <c r="M2" s="11">
        <f>IF(YEAR(E2)&lt;$Y$19,N2,O2)</f>
        <v>45757</v>
      </c>
      <c r="N2" s="11">
        <f>DATE($Y$20,MONTH(E2)-$Y$22,$Y$21)</f>
        <v>45757</v>
      </c>
      <c r="O2" s="11">
        <f>DATE(YEAR(E2)+$Y$23,MONTH(E2)+$Y$24,$Y$25)</f>
        <v>45808</v>
      </c>
      <c r="P2" s="45">
        <f t="shared" ref="P2:P36" si="1">(J2-_xlfn.XLOOKUP(J2,$U$12:$U$16,$U$12:$U$16,,-1))*_xlfn.XLOOKUP(J2,$U$12:$U$16,$V$12:$V$16,,-1)+_xlfn.XLOOKUP(J2,$U$12:$U$16,$W$12:$W$16,,-1)</f>
        <v>480</v>
      </c>
      <c r="Q2" s="46"/>
      <c r="R2" s="46"/>
      <c r="S2" s="45"/>
      <c r="T2" s="227"/>
      <c r="U2" s="229" t="s">
        <v>183</v>
      </c>
      <c r="V2" s="227"/>
      <c r="W2" s="227"/>
      <c r="X2" s="227"/>
      <c r="Y2" s="227"/>
      <c r="Z2" s="227"/>
      <c r="AA2" s="227" t="s">
        <v>301</v>
      </c>
      <c r="AB2" s="227"/>
      <c r="AE2" s="240" t="s">
        <v>169</v>
      </c>
      <c r="AF2" s="240" t="s">
        <v>169</v>
      </c>
      <c r="AG2" s="240" t="s">
        <v>170</v>
      </c>
      <c r="AH2" s="240" t="s">
        <v>610</v>
      </c>
      <c r="AI2" s="240" t="s">
        <v>172</v>
      </c>
      <c r="AJ2" s="240" t="s">
        <v>171</v>
      </c>
      <c r="AK2" s="189"/>
    </row>
    <row r="3" spans="1:37" x14ac:dyDescent="0.25">
      <c r="A3" s="14">
        <v>4430571</v>
      </c>
      <c r="B3" s="14" t="s">
        <v>184</v>
      </c>
      <c r="C3" s="14" t="s">
        <v>185</v>
      </c>
      <c r="D3" s="14" t="s">
        <v>186</v>
      </c>
      <c r="E3" s="42">
        <v>43504</v>
      </c>
      <c r="F3" s="14">
        <v>34</v>
      </c>
      <c r="G3" s="14" t="s">
        <v>181</v>
      </c>
      <c r="H3" s="14" t="s">
        <v>187</v>
      </c>
      <c r="I3" s="14">
        <v>95</v>
      </c>
      <c r="J3" s="207">
        <v>12750</v>
      </c>
      <c r="K3" s="44" cm="1">
        <f t="array" ref="K3">_xlfn.XLOOKUP(I3,$U$4:$U$8,_xlfn.XLOOKUP(H3,$V$3:$X$3,$V$4:$X$8,,0),,-1)*J3</f>
        <v>2805</v>
      </c>
      <c r="L3" s="11">
        <f t="shared" si="0"/>
        <v>45667</v>
      </c>
      <c r="M3" s="11">
        <f t="shared" ref="M3:M52" si="2">IF(YEAR(E3)&lt;$Y$19,N3,O3)</f>
        <v>45667</v>
      </c>
      <c r="N3" s="11">
        <f t="shared" ref="N3:N42" si="3">DATE($Y$20,MONTH(E3)-$Y$22,$Y$21)</f>
        <v>45667</v>
      </c>
      <c r="O3" s="11">
        <f t="shared" ref="O3:O42" si="4">DATE(YEAR(E3)+$Y$23,MONTH(E3)+$Y$24,$Y$25)</f>
        <v>45716</v>
      </c>
      <c r="P3" s="45">
        <f t="shared" si="1"/>
        <v>360</v>
      </c>
      <c r="Q3" s="46"/>
      <c r="R3" s="46"/>
      <c r="S3" s="45"/>
      <c r="T3" s="227"/>
      <c r="U3" s="227" t="s">
        <v>188</v>
      </c>
      <c r="V3" s="230" t="s">
        <v>182</v>
      </c>
      <c r="W3" s="230" t="s">
        <v>187</v>
      </c>
      <c r="X3" s="230" t="s">
        <v>189</v>
      </c>
      <c r="Y3" s="227"/>
      <c r="Z3" s="227"/>
      <c r="AA3" s="227"/>
      <c r="AB3" s="227"/>
      <c r="AE3" s="189" t="s">
        <v>297</v>
      </c>
      <c r="AF3" s="189" t="s">
        <v>298</v>
      </c>
      <c r="AG3" s="189" t="s">
        <v>193</v>
      </c>
      <c r="AH3" s="189"/>
      <c r="AI3" s="189"/>
      <c r="AJ3" s="189"/>
      <c r="AK3" s="189"/>
    </row>
    <row r="4" spans="1:37" ht="14.4" x14ac:dyDescent="0.3">
      <c r="A4" s="14">
        <v>3427449</v>
      </c>
      <c r="B4" s="14" t="s">
        <v>190</v>
      </c>
      <c r="C4" s="14" t="s">
        <v>191</v>
      </c>
      <c r="D4" s="14" t="s">
        <v>192</v>
      </c>
      <c r="E4" s="42">
        <v>43166</v>
      </c>
      <c r="F4" s="14">
        <v>47</v>
      </c>
      <c r="G4" s="14" t="s">
        <v>193</v>
      </c>
      <c r="H4" s="14" t="s">
        <v>189</v>
      </c>
      <c r="I4" s="14">
        <v>31</v>
      </c>
      <c r="J4" s="207">
        <v>114000</v>
      </c>
      <c r="K4" s="44" cm="1">
        <f t="array" ref="K4">_xlfn.XLOOKUP(I4,$U$4:$U$8,_xlfn.XLOOKUP(H4,$V$3:$X$3,$V$4:$X$8,,0),,-1)*J4</f>
        <v>22800</v>
      </c>
      <c r="L4" s="11">
        <f t="shared" si="0"/>
        <v>45698</v>
      </c>
      <c r="M4" s="11">
        <f t="shared" si="2"/>
        <v>45698</v>
      </c>
      <c r="N4" s="11">
        <f t="shared" si="3"/>
        <v>45698</v>
      </c>
      <c r="O4" s="11">
        <f t="shared" si="4"/>
        <v>45382</v>
      </c>
      <c r="P4" s="45">
        <f t="shared" si="1"/>
        <v>7250</v>
      </c>
      <c r="Q4" s="46"/>
      <c r="R4" s="46"/>
      <c r="S4" s="45"/>
      <c r="T4" s="227"/>
      <c r="U4" s="231">
        <v>0</v>
      </c>
      <c r="V4" s="232">
        <v>0.12</v>
      </c>
      <c r="W4" s="232">
        <v>0.14000000000000001</v>
      </c>
      <c r="X4" s="232">
        <v>0.16</v>
      </c>
      <c r="Y4" s="227"/>
      <c r="Z4" s="227"/>
      <c r="AA4" s="227"/>
      <c r="AB4" s="227"/>
      <c r="AE4" s="189" t="s">
        <v>297</v>
      </c>
      <c r="AF4" s="189" t="s">
        <v>298</v>
      </c>
      <c r="AG4" s="189" t="s">
        <v>197</v>
      </c>
      <c r="AH4" s="189"/>
      <c r="AI4" s="189"/>
      <c r="AJ4" s="189"/>
      <c r="AK4" s="189"/>
    </row>
    <row r="5" spans="1:37" ht="14.4" x14ac:dyDescent="0.3">
      <c r="A5" s="14">
        <v>5830124</v>
      </c>
      <c r="B5" s="14" t="s">
        <v>194</v>
      </c>
      <c r="C5" s="14" t="s">
        <v>195</v>
      </c>
      <c r="D5" s="14" t="s">
        <v>196</v>
      </c>
      <c r="E5" s="42">
        <v>44132</v>
      </c>
      <c r="F5" s="14">
        <v>26</v>
      </c>
      <c r="G5" s="14" t="s">
        <v>197</v>
      </c>
      <c r="H5" s="14" t="s">
        <v>189</v>
      </c>
      <c r="I5" s="14">
        <v>26</v>
      </c>
      <c r="J5" s="207">
        <v>77500</v>
      </c>
      <c r="K5" s="44" cm="1">
        <f t="array" ref="K5">_xlfn.XLOOKUP(I5,$U$4:$U$8,_xlfn.XLOOKUP(H5,$V$3:$X$3,$V$4:$X$8,,0),,-1)*J5</f>
        <v>15500</v>
      </c>
      <c r="L5" s="11">
        <f t="shared" si="0"/>
        <v>46326</v>
      </c>
      <c r="M5" s="11">
        <f t="shared" si="2"/>
        <v>46326</v>
      </c>
      <c r="N5" s="11">
        <f t="shared" si="3"/>
        <v>45910</v>
      </c>
      <c r="O5" s="11">
        <f t="shared" si="4"/>
        <v>46326</v>
      </c>
      <c r="P5" s="45">
        <f t="shared" si="1"/>
        <v>4162.5</v>
      </c>
      <c r="Q5" s="46"/>
      <c r="R5" s="46"/>
      <c r="S5" s="45"/>
      <c r="T5" s="227"/>
      <c r="U5" s="231">
        <v>15</v>
      </c>
      <c r="V5" s="232">
        <v>0.15</v>
      </c>
      <c r="W5" s="232">
        <v>0.18</v>
      </c>
      <c r="X5" s="232">
        <v>0.2</v>
      </c>
      <c r="Y5" s="227"/>
      <c r="Z5" s="227"/>
      <c r="AA5" s="227"/>
      <c r="AB5" s="227"/>
      <c r="AE5" s="189"/>
      <c r="AF5" s="189"/>
      <c r="AG5" s="189"/>
      <c r="AH5" s="189" t="s">
        <v>299</v>
      </c>
      <c r="AI5" s="189"/>
      <c r="AJ5" s="189"/>
      <c r="AK5" s="189"/>
    </row>
    <row r="6" spans="1:37" ht="14.4" x14ac:dyDescent="0.3">
      <c r="A6" s="14">
        <v>3192167</v>
      </c>
      <c r="B6" s="14" t="s">
        <v>198</v>
      </c>
      <c r="C6" s="14" t="s">
        <v>199</v>
      </c>
      <c r="D6" s="14" t="s">
        <v>200</v>
      </c>
      <c r="E6" s="42">
        <v>44493</v>
      </c>
      <c r="F6" s="14">
        <v>57</v>
      </c>
      <c r="G6" s="14" t="s">
        <v>197</v>
      </c>
      <c r="H6" s="14" t="s">
        <v>189</v>
      </c>
      <c r="I6" s="14">
        <v>99</v>
      </c>
      <c r="J6" s="207">
        <v>63000</v>
      </c>
      <c r="K6" s="44" cm="1">
        <f t="array" ref="K6">_xlfn.XLOOKUP(I6,$U$4:$U$8,_xlfn.XLOOKUP(H6,$V$3:$X$3,$V$4:$X$8,,0),,-1)*J6</f>
        <v>17640</v>
      </c>
      <c r="L6" s="11">
        <f t="shared" si="0"/>
        <v>46691</v>
      </c>
      <c r="M6" s="11">
        <f t="shared" si="2"/>
        <v>46691</v>
      </c>
      <c r="N6" s="11">
        <f t="shared" si="3"/>
        <v>45910</v>
      </c>
      <c r="O6" s="11">
        <f t="shared" si="4"/>
        <v>46691</v>
      </c>
      <c r="P6" s="45">
        <f t="shared" si="1"/>
        <v>3075</v>
      </c>
      <c r="Q6" s="46"/>
      <c r="R6" s="46"/>
      <c r="S6" s="45"/>
      <c r="T6" s="227"/>
      <c r="U6" s="231">
        <v>40</v>
      </c>
      <c r="V6" s="232">
        <v>0.18</v>
      </c>
      <c r="W6" s="232">
        <v>0.2</v>
      </c>
      <c r="X6" s="232">
        <v>0.25</v>
      </c>
      <c r="Y6" s="227"/>
      <c r="Z6" s="227"/>
      <c r="AA6" s="227"/>
      <c r="AB6" s="227"/>
      <c r="AE6" s="189"/>
      <c r="AF6" s="189"/>
      <c r="AG6" s="189"/>
      <c r="AH6" s="189"/>
      <c r="AI6" s="189" t="s">
        <v>307</v>
      </c>
      <c r="AJ6" s="208" t="s">
        <v>187</v>
      </c>
      <c r="AK6" s="189"/>
    </row>
    <row r="7" spans="1:37" ht="14.4" x14ac:dyDescent="0.3">
      <c r="A7" s="14">
        <v>5145835</v>
      </c>
      <c r="B7" s="14" t="s">
        <v>201</v>
      </c>
      <c r="C7" s="14" t="s">
        <v>138</v>
      </c>
      <c r="D7" s="14" t="s">
        <v>202</v>
      </c>
      <c r="E7" s="42">
        <v>43978</v>
      </c>
      <c r="F7" s="14">
        <v>48</v>
      </c>
      <c r="G7" s="14" t="s">
        <v>181</v>
      </c>
      <c r="H7" s="14" t="s">
        <v>182</v>
      </c>
      <c r="I7" s="14">
        <v>75</v>
      </c>
      <c r="J7" s="207">
        <v>30125</v>
      </c>
      <c r="K7" s="44" cm="1">
        <f t="array" ref="K7">_xlfn.XLOOKUP(I7,$U$4:$U$8,_xlfn.XLOOKUP(H7,$V$3:$X$3,$V$4:$X$8,,0),,-1)*J7</f>
        <v>6025</v>
      </c>
      <c r="L7" s="11">
        <f t="shared" si="0"/>
        <v>46173</v>
      </c>
      <c r="M7" s="11">
        <f t="shared" si="2"/>
        <v>46173</v>
      </c>
      <c r="N7" s="11">
        <f t="shared" si="3"/>
        <v>45757</v>
      </c>
      <c r="O7" s="11">
        <f t="shared" si="4"/>
        <v>46173</v>
      </c>
      <c r="P7" s="45">
        <f t="shared" si="1"/>
        <v>1106.25</v>
      </c>
      <c r="Q7" s="46"/>
      <c r="R7" s="46"/>
      <c r="S7" s="45"/>
      <c r="T7" s="227"/>
      <c r="U7" s="231">
        <v>70</v>
      </c>
      <c r="V7" s="232">
        <v>0.2</v>
      </c>
      <c r="W7" s="232">
        <v>0.22</v>
      </c>
      <c r="X7" s="232">
        <v>0.28000000000000003</v>
      </c>
      <c r="Y7" s="227"/>
      <c r="Z7" s="227"/>
      <c r="AA7" s="227"/>
      <c r="AB7" s="227"/>
      <c r="AE7" s="189"/>
      <c r="AF7" s="189"/>
      <c r="AG7" s="189"/>
      <c r="AH7" s="189"/>
      <c r="AI7" s="189" t="s">
        <v>307</v>
      </c>
      <c r="AJ7" s="208" t="s">
        <v>189</v>
      </c>
      <c r="AK7" s="189"/>
    </row>
    <row r="8" spans="1:37" ht="14.4" x14ac:dyDescent="0.3">
      <c r="A8" s="14">
        <v>5915445</v>
      </c>
      <c r="B8" s="14" t="s">
        <v>203</v>
      </c>
      <c r="C8" s="14" t="s">
        <v>204</v>
      </c>
      <c r="D8" s="49" t="s">
        <v>205</v>
      </c>
      <c r="E8" s="50">
        <v>44071</v>
      </c>
      <c r="F8" s="14">
        <v>18</v>
      </c>
      <c r="G8" s="14" t="s">
        <v>193</v>
      </c>
      <c r="H8" s="14" t="s">
        <v>182</v>
      </c>
      <c r="I8" s="14">
        <v>81</v>
      </c>
      <c r="J8" s="207">
        <v>23375</v>
      </c>
      <c r="K8" s="44" cm="1">
        <f t="array" ref="K8">_xlfn.XLOOKUP(I8,$U$4:$U$8,_xlfn.XLOOKUP(H8,$V$3:$X$3,$V$4:$X$8,,0),,-1)*J8</f>
        <v>4675</v>
      </c>
      <c r="L8" s="11">
        <f t="shared" si="0"/>
        <v>46265</v>
      </c>
      <c r="M8" s="11">
        <f t="shared" si="2"/>
        <v>46265</v>
      </c>
      <c r="N8" s="11">
        <f t="shared" si="3"/>
        <v>45848</v>
      </c>
      <c r="O8" s="11">
        <f t="shared" si="4"/>
        <v>46265</v>
      </c>
      <c r="P8" s="45">
        <f t="shared" si="1"/>
        <v>785</v>
      </c>
      <c r="Q8" s="46"/>
      <c r="R8" s="46"/>
      <c r="S8" s="45"/>
      <c r="T8" s="227"/>
      <c r="U8" s="231">
        <v>110</v>
      </c>
      <c r="V8" s="232">
        <v>0.25</v>
      </c>
      <c r="W8" s="232">
        <v>0.3</v>
      </c>
      <c r="X8" s="232">
        <v>0.32</v>
      </c>
      <c r="Y8" s="227"/>
      <c r="Z8" s="227"/>
      <c r="AA8" s="227"/>
      <c r="AB8" s="227"/>
      <c r="AE8" s="189"/>
      <c r="AF8" s="189"/>
      <c r="AG8" s="189"/>
      <c r="AH8" s="189"/>
      <c r="AI8" s="189"/>
      <c r="AJ8" s="189"/>
      <c r="AK8" s="189"/>
    </row>
    <row r="9" spans="1:37" x14ac:dyDescent="0.25">
      <c r="A9" s="14">
        <v>5464769</v>
      </c>
      <c r="B9" s="14" t="s">
        <v>206</v>
      </c>
      <c r="C9" s="14" t="s">
        <v>207</v>
      </c>
      <c r="D9" s="14" t="s">
        <v>208</v>
      </c>
      <c r="E9" s="42">
        <v>43497</v>
      </c>
      <c r="F9" s="14">
        <v>37</v>
      </c>
      <c r="G9" s="14" t="s">
        <v>181</v>
      </c>
      <c r="H9" s="14" t="s">
        <v>182</v>
      </c>
      <c r="I9" s="14">
        <v>66</v>
      </c>
      <c r="J9" s="207">
        <v>35625</v>
      </c>
      <c r="K9" s="44" cm="1">
        <f t="array" ref="K9">_xlfn.XLOOKUP(I9,$U$4:$U$8,_xlfn.XLOOKUP(H9,$V$3:$X$3,$V$4:$X$8,,0),,-1)*J9</f>
        <v>6412.5</v>
      </c>
      <c r="L9" s="11">
        <f t="shared" si="0"/>
        <v>45667</v>
      </c>
      <c r="M9" s="11">
        <f t="shared" si="2"/>
        <v>45667</v>
      </c>
      <c r="N9" s="11">
        <f t="shared" si="3"/>
        <v>45667</v>
      </c>
      <c r="O9" s="11">
        <f t="shared" si="4"/>
        <v>45716</v>
      </c>
      <c r="P9" s="45">
        <f t="shared" si="1"/>
        <v>1381.25</v>
      </c>
      <c r="Q9" s="46"/>
      <c r="R9" s="46"/>
      <c r="S9" s="45"/>
      <c r="T9" s="227"/>
      <c r="U9" s="227"/>
      <c r="V9" s="227"/>
      <c r="W9" s="227"/>
      <c r="X9" s="227"/>
      <c r="Y9" s="227"/>
      <c r="Z9" s="227"/>
      <c r="AA9" s="227"/>
      <c r="AB9" s="227"/>
      <c r="AE9" s="189"/>
      <c r="AF9" s="189"/>
      <c r="AG9" s="189"/>
      <c r="AH9" s="189"/>
      <c r="AI9" s="189"/>
      <c r="AJ9" s="189"/>
      <c r="AK9" s="189"/>
    </row>
    <row r="10" spans="1:37" x14ac:dyDescent="0.25">
      <c r="A10" s="14">
        <v>3992335</v>
      </c>
      <c r="B10" s="14" t="s">
        <v>209</v>
      </c>
      <c r="C10" s="14" t="s">
        <v>210</v>
      </c>
      <c r="D10" s="14" t="s">
        <v>211</v>
      </c>
      <c r="E10" s="42">
        <v>44845</v>
      </c>
      <c r="F10" s="14">
        <v>62</v>
      </c>
      <c r="G10" s="14" t="s">
        <v>193</v>
      </c>
      <c r="H10" s="14" t="s">
        <v>189</v>
      </c>
      <c r="I10" s="14">
        <v>63</v>
      </c>
      <c r="J10" s="207">
        <v>9500</v>
      </c>
      <c r="K10" s="44" cm="1">
        <f t="array" ref="K10">_xlfn.XLOOKUP(I10,$U$4:$U$8,_xlfn.XLOOKUP(H10,$V$3:$X$3,$V$4:$X$8,,0),,-1)*J10</f>
        <v>2375</v>
      </c>
      <c r="L10" s="11">
        <f t="shared" si="0"/>
        <v>47057</v>
      </c>
      <c r="M10" s="11">
        <f t="shared" si="2"/>
        <v>47057</v>
      </c>
      <c r="N10" s="11">
        <f t="shared" si="3"/>
        <v>45910</v>
      </c>
      <c r="O10" s="11">
        <f t="shared" si="4"/>
        <v>47057</v>
      </c>
      <c r="P10" s="45">
        <f t="shared" si="1"/>
        <v>237.5</v>
      </c>
      <c r="Q10" s="46"/>
      <c r="R10" s="46"/>
      <c r="S10" s="45"/>
      <c r="T10" s="227"/>
      <c r="U10" s="195" t="s">
        <v>212</v>
      </c>
      <c r="V10" s="227"/>
      <c r="W10" s="227"/>
      <c r="X10" s="227"/>
      <c r="Y10" s="227"/>
      <c r="Z10" s="227"/>
      <c r="AA10" s="227"/>
      <c r="AB10" s="227"/>
    </row>
    <row r="11" spans="1:37" x14ac:dyDescent="0.25">
      <c r="A11" s="14">
        <v>4633026</v>
      </c>
      <c r="B11" s="14" t="s">
        <v>213</v>
      </c>
      <c r="C11" s="14" t="s">
        <v>214</v>
      </c>
      <c r="D11" s="14" t="s">
        <v>215</v>
      </c>
      <c r="E11" s="42">
        <v>45030</v>
      </c>
      <c r="F11" s="14">
        <v>30</v>
      </c>
      <c r="G11" s="14" t="s">
        <v>181</v>
      </c>
      <c r="H11" s="14" t="s">
        <v>189</v>
      </c>
      <c r="I11" s="14">
        <v>86</v>
      </c>
      <c r="J11" s="207">
        <v>8250</v>
      </c>
      <c r="K11" s="44" cm="1">
        <f t="array" ref="K11">_xlfn.XLOOKUP(I11,$U$4:$U$8,_xlfn.XLOOKUP(H11,$V$3:$X$3,$V$4:$X$8,,0),,-1)*J11</f>
        <v>2310</v>
      </c>
      <c r="L11" s="11">
        <f t="shared" si="0"/>
        <v>47238</v>
      </c>
      <c r="M11" s="11">
        <f t="shared" si="2"/>
        <v>47238</v>
      </c>
      <c r="N11" s="11">
        <f t="shared" si="3"/>
        <v>45726</v>
      </c>
      <c r="O11" s="11">
        <f t="shared" si="4"/>
        <v>47238</v>
      </c>
      <c r="P11" s="45">
        <f t="shared" si="1"/>
        <v>206.25</v>
      </c>
      <c r="Q11" s="46"/>
      <c r="R11" s="46"/>
      <c r="S11" s="45"/>
      <c r="T11" s="227"/>
      <c r="U11" s="227" t="s">
        <v>216</v>
      </c>
      <c r="V11" s="227" t="s">
        <v>217</v>
      </c>
      <c r="W11" s="227" t="s">
        <v>218</v>
      </c>
      <c r="X11" s="227"/>
      <c r="Y11" s="227"/>
      <c r="Z11" s="227"/>
      <c r="AA11" s="227"/>
      <c r="AB11" s="227"/>
    </row>
    <row r="12" spans="1:37" x14ac:dyDescent="0.25">
      <c r="A12" s="14">
        <v>6790786</v>
      </c>
      <c r="B12" s="14" t="s">
        <v>219</v>
      </c>
      <c r="C12" s="14" t="s">
        <v>220</v>
      </c>
      <c r="D12" s="14" t="s">
        <v>221</v>
      </c>
      <c r="E12" s="42">
        <v>42875</v>
      </c>
      <c r="F12" s="14">
        <v>49</v>
      </c>
      <c r="G12" s="14" t="s">
        <v>181</v>
      </c>
      <c r="H12" s="14" t="s">
        <v>187</v>
      </c>
      <c r="I12" s="14">
        <v>121</v>
      </c>
      <c r="J12" s="207">
        <v>12500</v>
      </c>
      <c r="K12" s="44" cm="1">
        <f t="array" ref="K12">_xlfn.XLOOKUP(I12,$U$4:$U$8,_xlfn.XLOOKUP(H12,$V$3:$X$3,$V$4:$X$8,,0),,-1)*J12</f>
        <v>3750</v>
      </c>
      <c r="L12" s="11">
        <f t="shared" si="0"/>
        <v>45757</v>
      </c>
      <c r="M12" s="11">
        <f t="shared" si="2"/>
        <v>45757</v>
      </c>
      <c r="N12" s="11">
        <f t="shared" si="3"/>
        <v>45757</v>
      </c>
      <c r="O12" s="11">
        <f t="shared" si="4"/>
        <v>45077</v>
      </c>
      <c r="P12" s="45">
        <f t="shared" si="1"/>
        <v>350</v>
      </c>
      <c r="Q12" s="46"/>
      <c r="R12" s="46"/>
      <c r="S12" s="45"/>
      <c r="T12" s="227"/>
      <c r="U12" s="227">
        <v>0</v>
      </c>
      <c r="V12" s="233">
        <v>2.5000000000000001E-2</v>
      </c>
      <c r="W12" s="227">
        <v>0</v>
      </c>
      <c r="X12" s="227"/>
      <c r="Y12" s="227"/>
      <c r="Z12" s="227"/>
      <c r="AA12" s="227"/>
      <c r="AB12" s="227"/>
    </row>
    <row r="13" spans="1:37" x14ac:dyDescent="0.25">
      <c r="A13" s="14">
        <v>5828005</v>
      </c>
      <c r="B13" s="14" t="s">
        <v>222</v>
      </c>
      <c r="C13" s="14" t="s">
        <v>223</v>
      </c>
      <c r="D13" s="14" t="s">
        <v>224</v>
      </c>
      <c r="E13" s="42">
        <v>44265</v>
      </c>
      <c r="F13" s="14">
        <v>32</v>
      </c>
      <c r="G13" s="14" t="s">
        <v>197</v>
      </c>
      <c r="H13" s="14" t="s">
        <v>187</v>
      </c>
      <c r="I13" s="14">
        <v>8</v>
      </c>
      <c r="J13" s="207">
        <v>26500</v>
      </c>
      <c r="K13" s="44" cm="1">
        <f t="array" ref="K13">_xlfn.XLOOKUP(I13,$U$4:$U$8,_xlfn.XLOOKUP(H13,$V$3:$X$3,$V$4:$X$8,,0),,-1)*J13</f>
        <v>3710.0000000000005</v>
      </c>
      <c r="L13" s="11">
        <f t="shared" si="0"/>
        <v>46477</v>
      </c>
      <c r="M13" s="11">
        <f t="shared" si="2"/>
        <v>46477</v>
      </c>
      <c r="N13" s="11">
        <f t="shared" si="3"/>
        <v>45698</v>
      </c>
      <c r="O13" s="11">
        <f t="shared" si="4"/>
        <v>46477</v>
      </c>
      <c r="P13" s="45">
        <f t="shared" si="1"/>
        <v>925</v>
      </c>
      <c r="Q13" s="46"/>
      <c r="R13" s="46"/>
      <c r="S13" s="45"/>
      <c r="T13" s="227"/>
      <c r="U13" s="227">
        <v>10000</v>
      </c>
      <c r="V13" s="234">
        <v>0.04</v>
      </c>
      <c r="W13" s="227">
        <f>(U13-U12)*V12+W12</f>
        <v>250</v>
      </c>
      <c r="X13" s="227"/>
      <c r="Y13" s="227"/>
      <c r="Z13" s="227"/>
      <c r="AA13" s="227"/>
      <c r="AB13" s="227"/>
    </row>
    <row r="14" spans="1:37" x14ac:dyDescent="0.25">
      <c r="A14" s="14">
        <v>6934852</v>
      </c>
      <c r="B14" s="14" t="s">
        <v>225</v>
      </c>
      <c r="C14" s="14" t="s">
        <v>226</v>
      </c>
      <c r="D14" s="14" t="s">
        <v>227</v>
      </c>
      <c r="E14" s="42">
        <v>45594</v>
      </c>
      <c r="F14" s="14">
        <v>31</v>
      </c>
      <c r="G14" s="14" t="s">
        <v>193</v>
      </c>
      <c r="H14" s="14" t="s">
        <v>182</v>
      </c>
      <c r="I14" s="14">
        <v>83</v>
      </c>
      <c r="J14" s="207">
        <v>8625</v>
      </c>
      <c r="K14" s="44" cm="1">
        <f t="array" ref="K14">_xlfn.XLOOKUP(I14,$U$4:$U$8,_xlfn.XLOOKUP(H14,$V$3:$X$3,$V$4:$X$8,,0),,-1)*J14</f>
        <v>1725</v>
      </c>
      <c r="L14" s="11">
        <f t="shared" si="0"/>
        <v>47787</v>
      </c>
      <c r="M14" s="11">
        <f t="shared" si="2"/>
        <v>47787</v>
      </c>
      <c r="N14" s="11">
        <f t="shared" si="3"/>
        <v>45910</v>
      </c>
      <c r="O14" s="11">
        <f t="shared" si="4"/>
        <v>47787</v>
      </c>
      <c r="P14" s="45">
        <f t="shared" si="1"/>
        <v>215.625</v>
      </c>
      <c r="Q14" s="46"/>
      <c r="R14" s="46"/>
      <c r="S14" s="45"/>
      <c r="T14" s="227"/>
      <c r="U14" s="227">
        <v>25000</v>
      </c>
      <c r="V14" s="234">
        <v>0.05</v>
      </c>
      <c r="W14" s="227">
        <f t="shared" ref="W14:W16" si="5">(U14-U13)*V13+W13</f>
        <v>850</v>
      </c>
      <c r="X14" s="227"/>
      <c r="Y14" s="227"/>
      <c r="Z14" s="227"/>
      <c r="AA14" s="227"/>
      <c r="AB14" s="227"/>
    </row>
    <row r="15" spans="1:37" x14ac:dyDescent="0.25">
      <c r="A15" s="14">
        <v>4708795</v>
      </c>
      <c r="B15" s="14" t="s">
        <v>228</v>
      </c>
      <c r="C15" s="14" t="s">
        <v>229</v>
      </c>
      <c r="D15" s="14" t="s">
        <v>230</v>
      </c>
      <c r="E15" s="42">
        <v>40295</v>
      </c>
      <c r="F15" s="14">
        <v>26</v>
      </c>
      <c r="G15" s="14" t="s">
        <v>181</v>
      </c>
      <c r="H15" s="14" t="s">
        <v>189</v>
      </c>
      <c r="I15" s="14">
        <v>21</v>
      </c>
      <c r="J15" s="207">
        <v>42500</v>
      </c>
      <c r="K15" s="44" cm="1">
        <f t="array" ref="K15">_xlfn.XLOOKUP(I15,$U$4:$U$8,_xlfn.XLOOKUP(H15,$V$3:$X$3,$V$4:$X$8,,0),,-1)*J15</f>
        <v>8500</v>
      </c>
      <c r="L15" s="11">
        <f t="shared" si="0"/>
        <v>45726</v>
      </c>
      <c r="M15" s="11">
        <f t="shared" si="2"/>
        <v>45726</v>
      </c>
      <c r="N15" s="11">
        <f t="shared" si="3"/>
        <v>45726</v>
      </c>
      <c r="O15" s="11">
        <f t="shared" si="4"/>
        <v>42490</v>
      </c>
      <c r="P15" s="45">
        <f t="shared" si="1"/>
        <v>1725</v>
      </c>
      <c r="Q15" s="46"/>
      <c r="R15" s="46"/>
      <c r="S15" s="45"/>
      <c r="T15" s="227"/>
      <c r="U15" s="227">
        <v>50000</v>
      </c>
      <c r="V15" s="233">
        <v>7.4999999999999997E-2</v>
      </c>
      <c r="W15" s="227">
        <f t="shared" si="5"/>
        <v>2100</v>
      </c>
      <c r="X15" s="227"/>
      <c r="Y15" s="227"/>
      <c r="Z15" s="227"/>
      <c r="AA15" s="227"/>
      <c r="AB15" s="227"/>
    </row>
    <row r="16" spans="1:37" x14ac:dyDescent="0.25">
      <c r="A16" s="14">
        <v>4853519</v>
      </c>
      <c r="B16" s="14" t="s">
        <v>231</v>
      </c>
      <c r="C16" s="14" t="s">
        <v>232</v>
      </c>
      <c r="D16" s="14" t="s">
        <v>233</v>
      </c>
      <c r="E16" s="42">
        <v>43440</v>
      </c>
      <c r="F16" s="14">
        <v>65</v>
      </c>
      <c r="G16" s="14" t="s">
        <v>181</v>
      </c>
      <c r="H16" s="14" t="s">
        <v>189</v>
      </c>
      <c r="I16" s="14">
        <v>106</v>
      </c>
      <c r="J16" s="207">
        <v>30250</v>
      </c>
      <c r="K16" s="44" cm="1">
        <f t="array" ref="K16">_xlfn.XLOOKUP(I16,$U$4:$U$8,_xlfn.XLOOKUP(H16,$V$3:$X$3,$V$4:$X$8,,0),,-1)*J16</f>
        <v>8470</v>
      </c>
      <c r="L16" s="11">
        <f t="shared" si="0"/>
        <v>45971</v>
      </c>
      <c r="M16" s="11">
        <f t="shared" si="2"/>
        <v>45971</v>
      </c>
      <c r="N16" s="11">
        <f t="shared" si="3"/>
        <v>45971</v>
      </c>
      <c r="O16" s="11">
        <f t="shared" si="4"/>
        <v>45657</v>
      </c>
      <c r="P16" s="45">
        <f t="shared" si="1"/>
        <v>1112.5</v>
      </c>
      <c r="Q16" s="46"/>
      <c r="R16" s="46"/>
      <c r="S16" s="45"/>
      <c r="T16" s="227"/>
      <c r="U16" s="227">
        <v>100000</v>
      </c>
      <c r="V16" s="234">
        <v>0.1</v>
      </c>
      <c r="W16" s="227">
        <f t="shared" si="5"/>
        <v>5850</v>
      </c>
      <c r="X16" s="227"/>
      <c r="Y16" s="227"/>
      <c r="Z16" s="227"/>
      <c r="AA16" s="227"/>
      <c r="AB16" s="227"/>
    </row>
    <row r="17" spans="1:28" x14ac:dyDescent="0.25">
      <c r="A17" s="14">
        <v>5769687</v>
      </c>
      <c r="B17" s="14" t="s">
        <v>234</v>
      </c>
      <c r="C17" s="14" t="s">
        <v>235</v>
      </c>
      <c r="D17" s="14" t="s">
        <v>236</v>
      </c>
      <c r="E17" s="42">
        <v>40534</v>
      </c>
      <c r="F17" s="14">
        <v>36</v>
      </c>
      <c r="G17" s="14" t="s">
        <v>181</v>
      </c>
      <c r="H17" s="14" t="s">
        <v>182</v>
      </c>
      <c r="I17" s="14">
        <v>87</v>
      </c>
      <c r="J17" s="207">
        <v>8500</v>
      </c>
      <c r="K17" s="44" cm="1">
        <f t="array" ref="K17">_xlfn.XLOOKUP(I17,$U$4:$U$8,_xlfn.XLOOKUP(H17,$V$3:$X$3,$V$4:$X$8,,0),,-1)*J17</f>
        <v>1700</v>
      </c>
      <c r="L17" s="11">
        <f t="shared" si="0"/>
        <v>45971</v>
      </c>
      <c r="M17" s="11">
        <f t="shared" si="2"/>
        <v>45971</v>
      </c>
      <c r="N17" s="11">
        <f t="shared" si="3"/>
        <v>45971</v>
      </c>
      <c r="O17" s="11">
        <f t="shared" si="4"/>
        <v>42735</v>
      </c>
      <c r="P17" s="45">
        <f t="shared" si="1"/>
        <v>212.5</v>
      </c>
      <c r="Q17" s="46"/>
      <c r="R17" s="46"/>
      <c r="S17" s="45"/>
      <c r="T17" s="227"/>
      <c r="U17" s="227"/>
      <c r="V17" s="227"/>
      <c r="W17" s="227"/>
      <c r="X17" s="227"/>
      <c r="Y17" s="227"/>
      <c r="Z17" s="227"/>
      <c r="AA17" s="227"/>
      <c r="AB17" s="227"/>
    </row>
    <row r="18" spans="1:28" x14ac:dyDescent="0.25">
      <c r="A18" s="14">
        <v>5720158</v>
      </c>
      <c r="B18" s="14" t="s">
        <v>237</v>
      </c>
      <c r="C18" s="14" t="s">
        <v>238</v>
      </c>
      <c r="D18" s="14" t="s">
        <v>239</v>
      </c>
      <c r="E18" s="42">
        <v>44419</v>
      </c>
      <c r="F18" s="14">
        <v>27</v>
      </c>
      <c r="G18" s="14" t="s">
        <v>197</v>
      </c>
      <c r="H18" s="14" t="s">
        <v>182</v>
      </c>
      <c r="I18" s="14">
        <v>19</v>
      </c>
      <c r="J18" s="207">
        <v>58125</v>
      </c>
      <c r="K18" s="44" cm="1">
        <f t="array" ref="K18">_xlfn.XLOOKUP(I18,$U$4:$U$8,_xlfn.XLOOKUP(H18,$V$3:$X$3,$V$4:$X$8,,0),,-1)*J18</f>
        <v>8718.75</v>
      </c>
      <c r="L18" s="11">
        <f t="shared" si="0"/>
        <v>46630</v>
      </c>
      <c r="M18" s="11">
        <f t="shared" si="2"/>
        <v>46630</v>
      </c>
      <c r="N18" s="11">
        <f t="shared" si="3"/>
        <v>45848</v>
      </c>
      <c r="O18" s="11">
        <f t="shared" si="4"/>
        <v>46630</v>
      </c>
      <c r="P18" s="45">
        <f t="shared" si="1"/>
        <v>2709.375</v>
      </c>
      <c r="Q18" s="46"/>
      <c r="R18" s="46"/>
      <c r="S18" s="45"/>
      <c r="T18" s="227"/>
      <c r="U18" s="230" t="s">
        <v>240</v>
      </c>
      <c r="V18" s="227"/>
      <c r="W18" s="195" t="s">
        <v>241</v>
      </c>
      <c r="X18" s="227"/>
      <c r="Y18" s="227"/>
      <c r="Z18" s="227"/>
      <c r="AA18" s="227"/>
      <c r="AB18" s="227">
        <v>12</v>
      </c>
    </row>
    <row r="19" spans="1:28" x14ac:dyDescent="0.25">
      <c r="A19" s="14">
        <v>5521822</v>
      </c>
      <c r="B19" s="14" t="s">
        <v>242</v>
      </c>
      <c r="C19" s="14" t="s">
        <v>225</v>
      </c>
      <c r="D19" s="14" t="s">
        <v>243</v>
      </c>
      <c r="E19" s="42">
        <v>43641</v>
      </c>
      <c r="F19" s="14">
        <v>27</v>
      </c>
      <c r="G19" s="14" t="s">
        <v>197</v>
      </c>
      <c r="H19" s="14" t="s">
        <v>187</v>
      </c>
      <c r="I19" s="14">
        <v>95</v>
      </c>
      <c r="J19" s="207">
        <v>16000</v>
      </c>
      <c r="K19" s="44" cm="1">
        <f t="array" ref="K19">_xlfn.XLOOKUP(I19,$U$4:$U$8,_xlfn.XLOOKUP(H19,$V$3:$X$3,$V$4:$X$8,,0),,-1)*J19</f>
        <v>3520</v>
      </c>
      <c r="L19" s="11">
        <f t="shared" si="0"/>
        <v>45787</v>
      </c>
      <c r="M19" s="11">
        <f t="shared" si="2"/>
        <v>45787</v>
      </c>
      <c r="N19" s="11">
        <f t="shared" si="3"/>
        <v>45787</v>
      </c>
      <c r="O19" s="11">
        <f t="shared" si="4"/>
        <v>45838</v>
      </c>
      <c r="P19" s="45">
        <f t="shared" si="1"/>
        <v>490</v>
      </c>
      <c r="Q19" s="46"/>
      <c r="R19" s="46"/>
      <c r="S19" s="45"/>
      <c r="T19" s="189"/>
      <c r="U19" s="208">
        <v>2020</v>
      </c>
      <c r="V19" s="189"/>
      <c r="W19" s="189"/>
      <c r="X19" s="189"/>
      <c r="Y19" s="189">
        <v>2020</v>
      </c>
      <c r="Z19" s="189"/>
      <c r="AA19" s="227"/>
      <c r="AB19" s="227"/>
    </row>
    <row r="20" spans="1:28" x14ac:dyDescent="0.25">
      <c r="A20" s="14">
        <v>3907601</v>
      </c>
      <c r="B20" s="14" t="s">
        <v>244</v>
      </c>
      <c r="C20" s="14" t="s">
        <v>245</v>
      </c>
      <c r="D20" s="14" t="s">
        <v>246</v>
      </c>
      <c r="E20" s="42">
        <v>45562</v>
      </c>
      <c r="F20" s="14">
        <v>59</v>
      </c>
      <c r="G20" s="14" t="s">
        <v>181</v>
      </c>
      <c r="H20" s="14" t="s">
        <v>189</v>
      </c>
      <c r="I20" s="14">
        <v>23</v>
      </c>
      <c r="J20" s="207">
        <v>95750</v>
      </c>
      <c r="K20" s="44" cm="1">
        <f t="array" ref="K20">_xlfn.XLOOKUP(I20,$U$4:$U$8,_xlfn.XLOOKUP(H20,$V$3:$X$3,$V$4:$X$8,,0),,-1)*J20</f>
        <v>19150</v>
      </c>
      <c r="L20" s="11">
        <f t="shared" si="0"/>
        <v>47756</v>
      </c>
      <c r="M20" s="11">
        <f t="shared" si="2"/>
        <v>47756</v>
      </c>
      <c r="N20" s="11">
        <f t="shared" si="3"/>
        <v>45879</v>
      </c>
      <c r="O20" s="11">
        <f t="shared" si="4"/>
        <v>47756</v>
      </c>
      <c r="P20" s="45">
        <f t="shared" si="1"/>
        <v>5531.25</v>
      </c>
      <c r="Q20" s="46"/>
      <c r="R20" s="46"/>
      <c r="S20" s="45"/>
      <c r="T20" s="189"/>
      <c r="U20" s="208">
        <v>2025</v>
      </c>
      <c r="V20" s="189"/>
      <c r="W20" s="189"/>
      <c r="X20" s="189"/>
      <c r="Y20" s="189">
        <v>2025</v>
      </c>
      <c r="Z20" s="189"/>
      <c r="AA20" s="227"/>
      <c r="AB20" s="227"/>
    </row>
    <row r="21" spans="1:28" x14ac:dyDescent="0.25">
      <c r="A21" s="14">
        <v>5127949</v>
      </c>
      <c r="B21" s="14" t="s">
        <v>247</v>
      </c>
      <c r="C21" s="14" t="s">
        <v>248</v>
      </c>
      <c r="D21" s="14" t="s">
        <v>249</v>
      </c>
      <c r="E21" s="42">
        <v>43235</v>
      </c>
      <c r="F21" s="14">
        <v>23</v>
      </c>
      <c r="G21" s="14" t="s">
        <v>193</v>
      </c>
      <c r="H21" s="14" t="s">
        <v>182</v>
      </c>
      <c r="I21" s="14">
        <v>74</v>
      </c>
      <c r="J21" s="207">
        <v>6000</v>
      </c>
      <c r="K21" s="44" cm="1">
        <f t="array" ref="K21">_xlfn.XLOOKUP(I21,$U$4:$U$8,_xlfn.XLOOKUP(H21,$V$3:$X$3,$V$4:$X$8,,0),,-1)*J21</f>
        <v>1200</v>
      </c>
      <c r="L21" s="11">
        <f t="shared" si="0"/>
        <v>45757</v>
      </c>
      <c r="M21" s="11">
        <f t="shared" si="2"/>
        <v>45757</v>
      </c>
      <c r="N21" s="11">
        <f t="shared" si="3"/>
        <v>45757</v>
      </c>
      <c r="O21" s="11">
        <f t="shared" si="4"/>
        <v>45443</v>
      </c>
      <c r="P21" s="45">
        <f t="shared" si="1"/>
        <v>150</v>
      </c>
      <c r="Q21" s="46"/>
      <c r="R21" s="46"/>
      <c r="S21" s="45"/>
      <c r="T21" s="189"/>
      <c r="U21" s="208">
        <v>10</v>
      </c>
      <c r="V21" s="189"/>
      <c r="W21" s="189"/>
      <c r="X21" s="189"/>
      <c r="Y21" s="189">
        <v>10</v>
      </c>
      <c r="Z21" s="189"/>
    </row>
    <row r="22" spans="1:28" x14ac:dyDescent="0.25">
      <c r="A22" s="14">
        <v>3083848</v>
      </c>
      <c r="B22" s="14" t="s">
        <v>250</v>
      </c>
      <c r="C22" s="14" t="s">
        <v>251</v>
      </c>
      <c r="D22" s="14" t="s">
        <v>252</v>
      </c>
      <c r="E22" s="42">
        <v>41908</v>
      </c>
      <c r="F22" s="14">
        <v>18</v>
      </c>
      <c r="G22" s="14" t="s">
        <v>181</v>
      </c>
      <c r="H22" s="14" t="s">
        <v>182</v>
      </c>
      <c r="I22" s="14">
        <v>9</v>
      </c>
      <c r="J22" s="207">
        <v>11000</v>
      </c>
      <c r="K22" s="44" cm="1">
        <f t="array" ref="K22">_xlfn.XLOOKUP(I22,$U$4:$U$8,_xlfn.XLOOKUP(H22,$V$3:$X$3,$V$4:$X$8,,0),,-1)*J22</f>
        <v>1320</v>
      </c>
      <c r="L22" s="11">
        <f t="shared" si="0"/>
        <v>45879</v>
      </c>
      <c r="M22" s="11">
        <f t="shared" si="2"/>
        <v>45879</v>
      </c>
      <c r="N22" s="11">
        <f t="shared" si="3"/>
        <v>45879</v>
      </c>
      <c r="O22" s="11">
        <f t="shared" si="4"/>
        <v>44104</v>
      </c>
      <c r="P22" s="45">
        <f t="shared" si="1"/>
        <v>290</v>
      </c>
      <c r="Q22" s="46"/>
      <c r="R22" s="46"/>
      <c r="S22" s="45"/>
      <c r="T22" s="189"/>
      <c r="U22" s="208">
        <v>1</v>
      </c>
      <c r="V22" s="189"/>
      <c r="W22" s="189"/>
      <c r="X22" s="189"/>
      <c r="Y22" s="189">
        <v>1</v>
      </c>
      <c r="Z22" s="189"/>
    </row>
    <row r="23" spans="1:28" x14ac:dyDescent="0.25">
      <c r="A23" s="14">
        <v>4115321</v>
      </c>
      <c r="B23" s="14" t="s">
        <v>253</v>
      </c>
      <c r="C23" s="14" t="s">
        <v>254</v>
      </c>
      <c r="D23" s="14" t="s">
        <v>255</v>
      </c>
      <c r="E23" s="42">
        <v>43335</v>
      </c>
      <c r="F23" s="14">
        <v>53</v>
      </c>
      <c r="G23" s="14" t="s">
        <v>181</v>
      </c>
      <c r="H23" s="14" t="s">
        <v>182</v>
      </c>
      <c r="I23" s="14">
        <v>54</v>
      </c>
      <c r="J23" s="207">
        <v>20000</v>
      </c>
      <c r="K23" s="44" cm="1">
        <f t="array" ref="K23">_xlfn.XLOOKUP(I23,$U$4:$U$8,_xlfn.XLOOKUP(H23,$V$3:$X$3,$V$4:$X$8,,0),,-1)*J23</f>
        <v>3600</v>
      </c>
      <c r="L23" s="11">
        <f t="shared" si="0"/>
        <v>45848</v>
      </c>
      <c r="M23" s="11">
        <f t="shared" si="2"/>
        <v>45848</v>
      </c>
      <c r="N23" s="11">
        <f t="shared" si="3"/>
        <v>45848</v>
      </c>
      <c r="O23" s="11">
        <f t="shared" si="4"/>
        <v>45535</v>
      </c>
      <c r="P23" s="45">
        <f t="shared" si="1"/>
        <v>650</v>
      </c>
      <c r="Q23" s="46"/>
      <c r="R23" s="46"/>
      <c r="S23" s="45"/>
      <c r="T23" s="189"/>
      <c r="U23" s="208">
        <v>6</v>
      </c>
      <c r="V23" s="189"/>
      <c r="W23" s="189"/>
      <c r="X23" s="189"/>
      <c r="Y23" s="189">
        <v>6</v>
      </c>
      <c r="Z23" s="189"/>
    </row>
    <row r="24" spans="1:28" x14ac:dyDescent="0.25">
      <c r="A24" s="14">
        <v>5073393</v>
      </c>
      <c r="B24" s="14" t="s">
        <v>256</v>
      </c>
      <c r="C24" s="14" t="s">
        <v>257</v>
      </c>
      <c r="D24" s="14" t="s">
        <v>258</v>
      </c>
      <c r="E24" s="42">
        <v>44491</v>
      </c>
      <c r="F24" s="14">
        <v>36</v>
      </c>
      <c r="G24" s="14" t="s">
        <v>193</v>
      </c>
      <c r="H24" s="14" t="s">
        <v>189</v>
      </c>
      <c r="I24" s="14">
        <v>22</v>
      </c>
      <c r="J24" s="207">
        <v>6000</v>
      </c>
      <c r="K24" s="44" cm="1">
        <f t="array" ref="K24">_xlfn.XLOOKUP(I24,$U$4:$U$8,_xlfn.XLOOKUP(H24,$V$3:$X$3,$V$4:$X$8,,0),,-1)*J24</f>
        <v>1200</v>
      </c>
      <c r="L24" s="11">
        <f t="shared" si="0"/>
        <v>46691</v>
      </c>
      <c r="M24" s="11">
        <f t="shared" si="2"/>
        <v>46691</v>
      </c>
      <c r="N24" s="11">
        <f t="shared" si="3"/>
        <v>45910</v>
      </c>
      <c r="O24" s="11">
        <f t="shared" si="4"/>
        <v>46691</v>
      </c>
      <c r="P24" s="45">
        <f t="shared" si="1"/>
        <v>150</v>
      </c>
      <c r="Q24" s="46"/>
      <c r="R24" s="46"/>
      <c r="S24" s="45"/>
      <c r="T24" s="189"/>
      <c r="U24" s="208">
        <v>1</v>
      </c>
      <c r="V24" s="189"/>
      <c r="W24" s="189"/>
      <c r="X24" s="189"/>
      <c r="Y24" s="189">
        <v>1</v>
      </c>
      <c r="Z24" s="189"/>
    </row>
    <row r="25" spans="1:28" x14ac:dyDescent="0.25">
      <c r="A25" s="14">
        <v>3791707</v>
      </c>
      <c r="B25" s="14" t="s">
        <v>209</v>
      </c>
      <c r="C25" s="14" t="s">
        <v>259</v>
      </c>
      <c r="D25" s="14" t="s">
        <v>260</v>
      </c>
      <c r="E25" s="42">
        <v>40426</v>
      </c>
      <c r="F25" s="14">
        <v>32</v>
      </c>
      <c r="G25" s="14" t="s">
        <v>197</v>
      </c>
      <c r="H25" s="14" t="s">
        <v>189</v>
      </c>
      <c r="I25" s="14">
        <v>113</v>
      </c>
      <c r="J25" s="207">
        <v>18750</v>
      </c>
      <c r="K25" s="44" cm="1">
        <f t="array" ref="K25">_xlfn.XLOOKUP(I25,$U$4:$U$8,_xlfn.XLOOKUP(H25,$V$3:$X$3,$V$4:$X$8,,0),,-1)*J25</f>
        <v>6000</v>
      </c>
      <c r="L25" s="11">
        <f t="shared" si="0"/>
        <v>45879</v>
      </c>
      <c r="M25" s="11">
        <f t="shared" si="2"/>
        <v>45879</v>
      </c>
      <c r="N25" s="11">
        <f t="shared" si="3"/>
        <v>45879</v>
      </c>
      <c r="O25" s="11">
        <f t="shared" si="4"/>
        <v>42643</v>
      </c>
      <c r="P25" s="45">
        <f t="shared" si="1"/>
        <v>600</v>
      </c>
      <c r="Q25" s="46"/>
      <c r="R25" s="46"/>
      <c r="S25" s="45"/>
      <c r="T25" s="189"/>
      <c r="U25" s="208">
        <v>0</v>
      </c>
      <c r="V25" s="189"/>
      <c r="W25" s="189"/>
      <c r="X25" s="189"/>
      <c r="Y25" s="189">
        <v>0</v>
      </c>
      <c r="Z25" s="189"/>
    </row>
    <row r="26" spans="1:28" ht="12.6" customHeight="1" x14ac:dyDescent="0.25">
      <c r="A26" s="14">
        <v>5609175</v>
      </c>
      <c r="B26" s="14" t="s">
        <v>261</v>
      </c>
      <c r="C26" s="14" t="s">
        <v>262</v>
      </c>
      <c r="D26" s="14" t="s">
        <v>263</v>
      </c>
      <c r="E26" s="42">
        <v>39528</v>
      </c>
      <c r="F26" s="14">
        <v>33</v>
      </c>
      <c r="G26" s="14" t="s">
        <v>193</v>
      </c>
      <c r="H26" s="14" t="s">
        <v>182</v>
      </c>
      <c r="I26" s="14">
        <v>64</v>
      </c>
      <c r="J26" s="207">
        <v>36375</v>
      </c>
      <c r="K26" s="44" cm="1">
        <f t="array" ref="K26">_xlfn.XLOOKUP(I26,$U$4:$U$8,_xlfn.XLOOKUP(H26,$V$3:$X$3,$V$4:$X$8,,0),,-1)*J26</f>
        <v>6547.5</v>
      </c>
      <c r="L26" s="11">
        <f t="shared" si="0"/>
        <v>45698</v>
      </c>
      <c r="M26" s="11">
        <f t="shared" si="2"/>
        <v>45698</v>
      </c>
      <c r="N26" s="11">
        <f t="shared" si="3"/>
        <v>45698</v>
      </c>
      <c r="O26" s="11">
        <f t="shared" si="4"/>
        <v>41729</v>
      </c>
      <c r="P26" s="45">
        <f t="shared" si="1"/>
        <v>1418.75</v>
      </c>
      <c r="Q26" s="46"/>
      <c r="R26" s="46"/>
      <c r="S26" s="45"/>
      <c r="T26" s="189"/>
      <c r="U26" s="189"/>
      <c r="V26" s="189"/>
      <c r="W26" s="189"/>
      <c r="X26" s="189"/>
      <c r="Y26" s="189"/>
      <c r="Z26" s="189"/>
    </row>
    <row r="27" spans="1:28" ht="19.8" customHeight="1" x14ac:dyDescent="0.25">
      <c r="A27" s="14">
        <v>5989536</v>
      </c>
      <c r="B27" s="14" t="s">
        <v>264</v>
      </c>
      <c r="C27" s="14" t="s">
        <v>265</v>
      </c>
      <c r="D27" s="14" t="s">
        <v>266</v>
      </c>
      <c r="E27" s="42">
        <v>39502</v>
      </c>
      <c r="F27" s="14">
        <v>52</v>
      </c>
      <c r="G27" s="14" t="s">
        <v>193</v>
      </c>
      <c r="H27" s="14" t="s">
        <v>189</v>
      </c>
      <c r="I27" s="14">
        <v>28</v>
      </c>
      <c r="J27" s="207">
        <v>34750</v>
      </c>
      <c r="K27" s="44" cm="1">
        <f t="array" ref="K27">_xlfn.XLOOKUP(I27,$U$4:$U$8,_xlfn.XLOOKUP(H27,$V$3:$X$3,$V$4:$X$8,,0),,-1)*J27</f>
        <v>6950</v>
      </c>
      <c r="L27" s="11">
        <f t="shared" si="0"/>
        <v>45667</v>
      </c>
      <c r="M27" s="11">
        <f t="shared" si="2"/>
        <v>45667</v>
      </c>
      <c r="N27" s="11">
        <f t="shared" si="3"/>
        <v>45667</v>
      </c>
      <c r="O27" s="11">
        <f t="shared" si="4"/>
        <v>41698</v>
      </c>
      <c r="P27" s="45">
        <f t="shared" si="1"/>
        <v>1337.5</v>
      </c>
      <c r="Q27" s="46"/>
      <c r="R27" s="46"/>
      <c r="S27" s="45"/>
      <c r="T27" s="189"/>
      <c r="U27" s="240" t="s">
        <v>169</v>
      </c>
      <c r="V27" s="240" t="s">
        <v>169</v>
      </c>
      <c r="W27" s="240" t="s">
        <v>170</v>
      </c>
      <c r="X27" s="240" t="s">
        <v>177</v>
      </c>
      <c r="Y27" s="240" t="s">
        <v>171</v>
      </c>
      <c r="Z27" s="240" t="s">
        <v>172</v>
      </c>
    </row>
    <row r="28" spans="1:28" x14ac:dyDescent="0.25">
      <c r="A28" s="14">
        <v>4100161</v>
      </c>
      <c r="B28" s="14" t="s">
        <v>267</v>
      </c>
      <c r="C28" s="14" t="s">
        <v>268</v>
      </c>
      <c r="D28" s="14" t="s">
        <v>269</v>
      </c>
      <c r="E28" s="42">
        <v>43649</v>
      </c>
      <c r="F28" s="14">
        <v>21</v>
      </c>
      <c r="G28" s="14" t="s">
        <v>181</v>
      </c>
      <c r="H28" s="14" t="s">
        <v>182</v>
      </c>
      <c r="I28" s="14">
        <v>88</v>
      </c>
      <c r="J28" s="207">
        <v>7125</v>
      </c>
      <c r="K28" s="44" cm="1">
        <f t="array" ref="K28">_xlfn.XLOOKUP(I28,$U$4:$U$8,_xlfn.XLOOKUP(H28,$V$3:$X$3,$V$4:$X$8,,0),,-1)*J28</f>
        <v>1425</v>
      </c>
      <c r="L28" s="11">
        <f t="shared" si="0"/>
        <v>45818</v>
      </c>
      <c r="M28" s="11">
        <f t="shared" si="2"/>
        <v>45818</v>
      </c>
      <c r="N28" s="11">
        <f t="shared" si="3"/>
        <v>45818</v>
      </c>
      <c r="O28" s="11">
        <f t="shared" si="4"/>
        <v>45869</v>
      </c>
      <c r="P28" s="45">
        <f t="shared" si="1"/>
        <v>178.125</v>
      </c>
      <c r="Q28" s="46"/>
      <c r="R28" s="46"/>
      <c r="S28" s="45"/>
      <c r="T28" s="189"/>
      <c r="U28" s="189" t="s">
        <v>297</v>
      </c>
      <c r="V28" s="189" t="s">
        <v>298</v>
      </c>
      <c r="W28" s="208" t="s">
        <v>193</v>
      </c>
      <c r="X28" s="189"/>
      <c r="Y28" s="189"/>
      <c r="Z28" s="189"/>
    </row>
    <row r="29" spans="1:28" x14ac:dyDescent="0.25">
      <c r="A29" s="14">
        <v>5763159</v>
      </c>
      <c r="B29" s="14" t="s">
        <v>270</v>
      </c>
      <c r="C29" s="14" t="s">
        <v>271</v>
      </c>
      <c r="D29" s="14" t="s">
        <v>272</v>
      </c>
      <c r="E29" s="42">
        <v>39551</v>
      </c>
      <c r="F29" s="14">
        <v>42</v>
      </c>
      <c r="G29" s="14" t="s">
        <v>197</v>
      </c>
      <c r="H29" s="14" t="s">
        <v>187</v>
      </c>
      <c r="I29" s="14">
        <v>103</v>
      </c>
      <c r="J29" s="207">
        <v>35175</v>
      </c>
      <c r="K29" s="44" cm="1">
        <f t="array" ref="K29">_xlfn.XLOOKUP(I29,$U$4:$U$8,_xlfn.XLOOKUP(H29,$V$3:$X$3,$V$4:$X$8,,0),,-1)*J29</f>
        <v>7738.5</v>
      </c>
      <c r="L29" s="11">
        <f t="shared" si="0"/>
        <v>45726</v>
      </c>
      <c r="M29" s="11">
        <f t="shared" si="2"/>
        <v>45726</v>
      </c>
      <c r="N29" s="11">
        <f t="shared" si="3"/>
        <v>45726</v>
      </c>
      <c r="O29" s="11">
        <f t="shared" si="4"/>
        <v>41759</v>
      </c>
      <c r="P29" s="45">
        <f t="shared" si="1"/>
        <v>1358.75</v>
      </c>
      <c r="Q29" s="46"/>
      <c r="R29" s="46"/>
      <c r="S29" s="45"/>
      <c r="T29" s="189"/>
      <c r="U29" s="189" t="s">
        <v>297</v>
      </c>
      <c r="V29" s="189" t="s">
        <v>298</v>
      </c>
      <c r="W29" s="208" t="s">
        <v>197</v>
      </c>
      <c r="X29" s="189"/>
      <c r="Y29" s="189"/>
      <c r="Z29" s="189"/>
    </row>
    <row r="30" spans="1:28" x14ac:dyDescent="0.25">
      <c r="A30" s="14">
        <v>3539546</v>
      </c>
      <c r="B30" s="14" t="s">
        <v>273</v>
      </c>
      <c r="C30" s="14" t="s">
        <v>274</v>
      </c>
      <c r="D30" s="14" t="s">
        <v>275</v>
      </c>
      <c r="E30" s="42">
        <v>39882</v>
      </c>
      <c r="F30" s="14">
        <v>19</v>
      </c>
      <c r="G30" s="14" t="s">
        <v>181</v>
      </c>
      <c r="H30" s="14" t="s">
        <v>182</v>
      </c>
      <c r="I30" s="14">
        <v>59</v>
      </c>
      <c r="J30" s="207">
        <v>2625</v>
      </c>
      <c r="K30" s="44" cm="1">
        <f t="array" ref="K30">_xlfn.XLOOKUP(I30,$U$4:$U$8,_xlfn.XLOOKUP(H30,$V$3:$X$3,$V$4:$X$8,,0),,-1)*J30</f>
        <v>472.5</v>
      </c>
      <c r="L30" s="11">
        <f t="shared" si="0"/>
        <v>45698</v>
      </c>
      <c r="M30" s="11">
        <f t="shared" si="2"/>
        <v>45698</v>
      </c>
      <c r="N30" s="11">
        <f t="shared" si="3"/>
        <v>45698</v>
      </c>
      <c r="O30" s="11">
        <f t="shared" si="4"/>
        <v>42094</v>
      </c>
      <c r="P30" s="45">
        <f t="shared" si="1"/>
        <v>65.625</v>
      </c>
      <c r="Q30" s="46"/>
      <c r="R30" s="46"/>
      <c r="S30" s="45"/>
      <c r="T30" s="189"/>
      <c r="U30" s="189"/>
      <c r="V30" s="189"/>
      <c r="W30" s="189"/>
      <c r="X30" s="189" t="s">
        <v>299</v>
      </c>
      <c r="Y30" s="189"/>
      <c r="Z30" s="189"/>
    </row>
    <row r="31" spans="1:28" x14ac:dyDescent="0.25">
      <c r="A31" s="14">
        <v>5664243</v>
      </c>
      <c r="B31" s="14" t="s">
        <v>276</v>
      </c>
      <c r="C31" s="14" t="s">
        <v>277</v>
      </c>
      <c r="D31" s="14" t="s">
        <v>278</v>
      </c>
      <c r="E31" s="42">
        <v>44186</v>
      </c>
      <c r="F31" s="14">
        <v>58</v>
      </c>
      <c r="G31" s="14" t="s">
        <v>181</v>
      </c>
      <c r="H31" s="14" t="s">
        <v>187</v>
      </c>
      <c r="I31" s="14">
        <v>58</v>
      </c>
      <c r="J31" s="207">
        <v>6500</v>
      </c>
      <c r="K31" s="44" cm="1">
        <f t="array" ref="K31">_xlfn.XLOOKUP(I31,$U$4:$U$8,_xlfn.XLOOKUP(H31,$V$3:$X$3,$V$4:$X$8,,0),,-1)*J31</f>
        <v>1300</v>
      </c>
      <c r="L31" s="11">
        <f t="shared" si="0"/>
        <v>46387</v>
      </c>
      <c r="M31" s="11">
        <f t="shared" si="2"/>
        <v>46387</v>
      </c>
      <c r="N31" s="11">
        <f t="shared" si="3"/>
        <v>45971</v>
      </c>
      <c r="O31" s="11">
        <f t="shared" si="4"/>
        <v>46387</v>
      </c>
      <c r="P31" s="45">
        <f t="shared" si="1"/>
        <v>162.5</v>
      </c>
      <c r="Q31" s="46"/>
      <c r="R31" s="46"/>
      <c r="S31" s="45"/>
      <c r="T31" s="189"/>
      <c r="U31" s="189"/>
      <c r="V31" s="189"/>
      <c r="W31" s="189"/>
      <c r="X31" s="189"/>
      <c r="Y31" s="208" t="s">
        <v>187</v>
      </c>
      <c r="Z31" s="189" t="s">
        <v>307</v>
      </c>
    </row>
    <row r="32" spans="1:28" x14ac:dyDescent="0.25">
      <c r="A32" s="14">
        <v>5678581</v>
      </c>
      <c r="B32" s="14" t="s">
        <v>279</v>
      </c>
      <c r="C32" s="14" t="s">
        <v>280</v>
      </c>
      <c r="D32" s="14" t="s">
        <v>281</v>
      </c>
      <c r="E32" s="42">
        <v>44265</v>
      </c>
      <c r="F32" s="14">
        <v>27</v>
      </c>
      <c r="G32" s="14" t="s">
        <v>193</v>
      </c>
      <c r="H32" s="14" t="s">
        <v>182</v>
      </c>
      <c r="I32" s="14">
        <v>110</v>
      </c>
      <c r="J32" s="207">
        <v>13000</v>
      </c>
      <c r="K32" s="44" cm="1">
        <f t="array" ref="K32">_xlfn.XLOOKUP(I32,$U$4:$U$8,_xlfn.XLOOKUP(H32,$V$3:$X$3,$V$4:$X$8,,0),,-1)*J32</f>
        <v>3250</v>
      </c>
      <c r="L32" s="11">
        <f t="shared" si="0"/>
        <v>46477</v>
      </c>
      <c r="M32" s="11">
        <f t="shared" si="2"/>
        <v>46477</v>
      </c>
      <c r="N32" s="11">
        <f t="shared" si="3"/>
        <v>45698</v>
      </c>
      <c r="O32" s="11">
        <f t="shared" si="4"/>
        <v>46477</v>
      </c>
      <c r="P32" s="45">
        <f t="shared" si="1"/>
        <v>370</v>
      </c>
      <c r="Q32" s="46"/>
      <c r="R32" s="46"/>
      <c r="S32" s="45"/>
      <c r="T32" s="189"/>
      <c r="U32" s="189"/>
      <c r="V32" s="189"/>
      <c r="W32" s="189"/>
      <c r="X32" s="189"/>
      <c r="Y32" s="208" t="s">
        <v>189</v>
      </c>
      <c r="Z32" s="189" t="s">
        <v>307</v>
      </c>
    </row>
    <row r="33" spans="1:24" x14ac:dyDescent="0.25">
      <c r="A33" s="14">
        <v>4220283</v>
      </c>
      <c r="B33" s="14" t="s">
        <v>282</v>
      </c>
      <c r="C33" s="14" t="s">
        <v>283</v>
      </c>
      <c r="D33" s="14" t="s">
        <v>284</v>
      </c>
      <c r="E33" s="42">
        <v>45228</v>
      </c>
      <c r="F33" s="14">
        <v>19</v>
      </c>
      <c r="G33" s="14" t="s">
        <v>193</v>
      </c>
      <c r="H33" s="14" t="s">
        <v>189</v>
      </c>
      <c r="I33" s="14">
        <v>103</v>
      </c>
      <c r="J33" s="207">
        <v>15250</v>
      </c>
      <c r="K33" s="44" cm="1">
        <f t="array" ref="K33">_xlfn.XLOOKUP(I33,$U$4:$U$8,_xlfn.XLOOKUP(H33,$V$3:$X$3,$V$4:$X$8,,0),,-1)*J33</f>
        <v>4270</v>
      </c>
      <c r="L33" s="11">
        <f t="shared" si="0"/>
        <v>47422</v>
      </c>
      <c r="M33" s="11">
        <f t="shared" si="2"/>
        <v>47422</v>
      </c>
      <c r="N33" s="11">
        <f t="shared" si="3"/>
        <v>45910</v>
      </c>
      <c r="O33" s="11">
        <f t="shared" si="4"/>
        <v>47422</v>
      </c>
      <c r="P33" s="45">
        <f t="shared" si="1"/>
        <v>460</v>
      </c>
      <c r="Q33" s="46"/>
      <c r="R33" s="46"/>
      <c r="S33" s="45"/>
    </row>
    <row r="34" spans="1:24" x14ac:dyDescent="0.25">
      <c r="A34" s="14">
        <v>3591027</v>
      </c>
      <c r="B34" s="14" t="s">
        <v>285</v>
      </c>
      <c r="C34" s="14" t="s">
        <v>286</v>
      </c>
      <c r="D34" s="49" t="s">
        <v>287</v>
      </c>
      <c r="E34" s="50">
        <v>43436</v>
      </c>
      <c r="F34" s="14">
        <v>20</v>
      </c>
      <c r="G34" s="14" t="s">
        <v>181</v>
      </c>
      <c r="H34" s="14" t="s">
        <v>182</v>
      </c>
      <c r="I34" s="14">
        <v>8</v>
      </c>
      <c r="J34" s="207">
        <v>16500</v>
      </c>
      <c r="K34" s="44" cm="1">
        <f t="array" ref="K34">_xlfn.XLOOKUP(I34,$U$4:$U$8,_xlfn.XLOOKUP(H34,$V$3:$X$3,$V$4:$X$8,,0),,-1)*J34</f>
        <v>1980</v>
      </c>
      <c r="L34" s="11">
        <f t="shared" si="0"/>
        <v>45971</v>
      </c>
      <c r="M34" s="11">
        <f t="shared" si="2"/>
        <v>45971</v>
      </c>
      <c r="N34" s="11">
        <f t="shared" si="3"/>
        <v>45971</v>
      </c>
      <c r="O34" s="11">
        <f t="shared" si="4"/>
        <v>45657</v>
      </c>
      <c r="P34" s="45">
        <f t="shared" si="1"/>
        <v>510</v>
      </c>
      <c r="Q34" s="46"/>
      <c r="R34" s="46"/>
      <c r="S34" s="45"/>
      <c r="V34" s="189"/>
      <c r="W34" s="189"/>
    </row>
    <row r="35" spans="1:24" x14ac:dyDescent="0.25">
      <c r="A35" s="14">
        <v>4241247</v>
      </c>
      <c r="B35" s="14" t="s">
        <v>288</v>
      </c>
      <c r="C35" s="14" t="s">
        <v>289</v>
      </c>
      <c r="D35" s="14" t="s">
        <v>290</v>
      </c>
      <c r="E35" s="42">
        <v>44450</v>
      </c>
      <c r="F35" s="14">
        <v>65</v>
      </c>
      <c r="G35" s="14" t="s">
        <v>181</v>
      </c>
      <c r="H35" s="14" t="s">
        <v>182</v>
      </c>
      <c r="I35" s="14">
        <v>14</v>
      </c>
      <c r="J35" s="207">
        <v>6625</v>
      </c>
      <c r="K35" s="44" cm="1">
        <f t="array" ref="K35">_xlfn.XLOOKUP(I35,$U$4:$U$8,_xlfn.XLOOKUP(H35,$V$3:$X$3,$V$4:$X$8,,0),,-1)*J35</f>
        <v>795</v>
      </c>
      <c r="L35" s="11">
        <f t="shared" si="0"/>
        <v>46660</v>
      </c>
      <c r="M35" s="11">
        <f t="shared" si="2"/>
        <v>46660</v>
      </c>
      <c r="N35" s="11">
        <f t="shared" si="3"/>
        <v>45879</v>
      </c>
      <c r="O35" s="11">
        <f t="shared" si="4"/>
        <v>46660</v>
      </c>
      <c r="P35" s="45">
        <f t="shared" si="1"/>
        <v>165.625</v>
      </c>
      <c r="Q35" s="46"/>
      <c r="R35" s="46"/>
      <c r="S35" s="45"/>
      <c r="V35" s="189" t="s">
        <v>306</v>
      </c>
      <c r="W35" s="189"/>
    </row>
    <row r="36" spans="1:24" x14ac:dyDescent="0.25">
      <c r="A36" s="14">
        <v>4280247</v>
      </c>
      <c r="B36" s="14" t="s">
        <v>293</v>
      </c>
      <c r="C36" s="14" t="s">
        <v>294</v>
      </c>
      <c r="D36" s="14" t="s">
        <v>295</v>
      </c>
      <c r="E36" s="42">
        <v>45447</v>
      </c>
      <c r="F36" s="14">
        <v>40</v>
      </c>
      <c r="G36" s="14" t="s">
        <v>181</v>
      </c>
      <c r="H36" s="14" t="s">
        <v>187</v>
      </c>
      <c r="I36" s="14">
        <v>56</v>
      </c>
      <c r="J36" s="207">
        <v>7500</v>
      </c>
      <c r="K36" s="44" cm="1">
        <f t="array" ref="K36">_xlfn.XLOOKUP(I36,$U$4:$U$8,_xlfn.XLOOKUP(H36,$V$3:$X$3,$V$4:$X$8,,0),,-1)*J36</f>
        <v>1500</v>
      </c>
      <c r="L36" s="11">
        <f t="shared" si="0"/>
        <v>47664</v>
      </c>
      <c r="M36" s="11">
        <f t="shared" si="2"/>
        <v>47664</v>
      </c>
      <c r="N36" s="11">
        <f t="shared" si="3"/>
        <v>45787</v>
      </c>
      <c r="O36" s="11">
        <f t="shared" si="4"/>
        <v>47664</v>
      </c>
      <c r="P36" s="45">
        <f t="shared" si="1"/>
        <v>187.5</v>
      </c>
      <c r="Q36" s="46"/>
      <c r="R36" s="46"/>
      <c r="S36" s="45"/>
      <c r="V36" s="189">
        <f>AVERAGE(I2:I36)</f>
        <v>63.085714285714289</v>
      </c>
      <c r="W36" s="189"/>
    </row>
    <row r="37" spans="1:24" ht="47.25" customHeight="1" x14ac:dyDescent="0.25">
      <c r="E37" s="52"/>
      <c r="I37" s="14">
        <f>AVERAGE(I2:I36)</f>
        <v>63.085714285714289</v>
      </c>
      <c r="J37" s="241"/>
      <c r="K37" s="189"/>
      <c r="L37" s="189"/>
      <c r="M37" s="188">
        <f t="shared" si="2"/>
        <v>45636</v>
      </c>
      <c r="N37" s="188">
        <f t="shared" si="3"/>
        <v>45636</v>
      </c>
      <c r="O37" s="188">
        <f t="shared" si="4"/>
        <v>2223</v>
      </c>
      <c r="P37" s="189"/>
      <c r="Q37" s="242"/>
      <c r="R37" s="242"/>
      <c r="S37" s="243"/>
      <c r="T37" s="189"/>
      <c r="U37" s="189"/>
      <c r="V37" s="189"/>
      <c r="W37" s="189"/>
      <c r="X37" s="189"/>
    </row>
    <row r="38" spans="1:24" x14ac:dyDescent="0.25">
      <c r="A38" s="53" t="s">
        <v>296</v>
      </c>
      <c r="J38" s="241"/>
      <c r="K38" s="189"/>
      <c r="L38" s="189"/>
      <c r="M38" s="188">
        <f t="shared" si="2"/>
        <v>45636</v>
      </c>
      <c r="N38" s="188">
        <f t="shared" si="3"/>
        <v>45636</v>
      </c>
      <c r="O38" s="188">
        <f t="shared" si="4"/>
        <v>2223</v>
      </c>
      <c r="P38" s="189"/>
      <c r="Q38" s="242"/>
      <c r="R38" s="242"/>
      <c r="S38" s="243"/>
      <c r="T38" s="189"/>
      <c r="U38" s="189"/>
      <c r="V38" s="189"/>
      <c r="W38" s="189"/>
      <c r="X38" s="189"/>
    </row>
    <row r="39" spans="1:24" x14ac:dyDescent="0.25">
      <c r="A39" s="54">
        <f>SUM(P2:P36)</f>
        <v>40369.375</v>
      </c>
      <c r="J39" s="241"/>
      <c r="K39" s="189"/>
      <c r="L39" s="189"/>
      <c r="M39" s="188">
        <f t="shared" si="2"/>
        <v>45636</v>
      </c>
      <c r="N39" s="188">
        <f t="shared" si="3"/>
        <v>45636</v>
      </c>
      <c r="O39" s="188">
        <f t="shared" si="4"/>
        <v>2223</v>
      </c>
      <c r="P39" s="189"/>
      <c r="Q39" s="242"/>
      <c r="R39" s="242"/>
      <c r="S39" s="243"/>
      <c r="T39" s="189"/>
      <c r="U39" s="189"/>
      <c r="V39" s="189"/>
      <c r="W39" s="189"/>
      <c r="X39" s="189"/>
    </row>
    <row r="40" spans="1:24" x14ac:dyDescent="0.25">
      <c r="J40" s="241"/>
      <c r="K40" s="189"/>
      <c r="L40" s="189"/>
      <c r="M40" s="188">
        <f t="shared" si="2"/>
        <v>45636</v>
      </c>
      <c r="N40" s="188">
        <f t="shared" si="3"/>
        <v>45636</v>
      </c>
      <c r="O40" s="188">
        <f t="shared" si="4"/>
        <v>2223</v>
      </c>
      <c r="P40" s="189"/>
      <c r="Q40" s="189"/>
      <c r="R40" s="242"/>
      <c r="S40" s="243"/>
      <c r="T40" s="189"/>
      <c r="U40" s="189"/>
      <c r="V40" s="189"/>
      <c r="W40" s="189"/>
      <c r="X40" s="189"/>
    </row>
    <row r="41" spans="1:24" x14ac:dyDescent="0.25">
      <c r="B41" s="55">
        <f>A39</f>
        <v>40369.375</v>
      </c>
      <c r="C41" s="56">
        <v>90000</v>
      </c>
      <c r="D41" s="56">
        <v>95000</v>
      </c>
      <c r="E41" s="56">
        <v>100000</v>
      </c>
      <c r="F41" s="56">
        <v>105000</v>
      </c>
      <c r="G41" s="56">
        <v>110000</v>
      </c>
      <c r="H41" s="56">
        <v>115000</v>
      </c>
      <c r="I41" s="56">
        <v>120000</v>
      </c>
      <c r="J41" s="244">
        <v>125000</v>
      </c>
      <c r="K41" s="189"/>
      <c r="L41" s="189"/>
      <c r="M41" s="188">
        <f t="shared" si="2"/>
        <v>102208</v>
      </c>
      <c r="N41" s="188">
        <f t="shared" si="3"/>
        <v>45910</v>
      </c>
      <c r="O41" s="188">
        <f t="shared" si="4"/>
        <v>102208</v>
      </c>
      <c r="P41" s="189"/>
      <c r="Q41" s="189"/>
      <c r="R41" s="242"/>
      <c r="S41" s="243"/>
      <c r="T41" s="189"/>
      <c r="U41" s="189"/>
      <c r="V41" s="189"/>
      <c r="W41" s="189"/>
      <c r="X41" s="189"/>
    </row>
    <row r="42" spans="1:24" x14ac:dyDescent="0.25">
      <c r="B42" s="58">
        <v>5.0000000000000001E-3</v>
      </c>
      <c r="C42" s="59">
        <f t="dataTable" ref="C42:J52" dt2D="1" dtr="1" r1="U16" r2="V12"/>
        <v>34418.125</v>
      </c>
      <c r="D42" s="59">
        <v>34168.125</v>
      </c>
      <c r="E42" s="59">
        <v>34024.375</v>
      </c>
      <c r="F42" s="59">
        <v>33899.375</v>
      </c>
      <c r="G42" s="59">
        <v>33774.375</v>
      </c>
      <c r="H42" s="59">
        <v>33674.375</v>
      </c>
      <c r="I42" s="59">
        <v>33674.375</v>
      </c>
      <c r="J42" s="245">
        <v>33674.375</v>
      </c>
      <c r="K42" s="189"/>
      <c r="L42" s="189"/>
      <c r="M42" s="188">
        <f t="shared" si="2"/>
        <v>45667</v>
      </c>
      <c r="N42" s="188">
        <f t="shared" si="3"/>
        <v>45667</v>
      </c>
      <c r="O42" s="188">
        <f t="shared" si="4"/>
        <v>36219</v>
      </c>
      <c r="P42" s="189"/>
      <c r="Q42" s="189"/>
      <c r="R42" s="242"/>
      <c r="S42" s="243"/>
      <c r="T42" s="229" t="s">
        <v>291</v>
      </c>
      <c r="U42" s="229">
        <v>3.75</v>
      </c>
      <c r="V42" s="229" t="s">
        <v>292</v>
      </c>
      <c r="W42" s="189"/>
      <c r="X42" s="246">
        <f>AVERAGE($I$2:$I$36)</f>
        <v>63.085714285714289</v>
      </c>
    </row>
    <row r="43" spans="1:24" x14ac:dyDescent="0.25">
      <c r="B43" s="58">
        <v>7.4999999999999997E-3</v>
      </c>
      <c r="C43" s="59">
        <v>35211.25</v>
      </c>
      <c r="D43" s="59">
        <v>34961.25</v>
      </c>
      <c r="E43" s="59">
        <v>34817.5</v>
      </c>
      <c r="F43" s="59">
        <v>34692.5</v>
      </c>
      <c r="G43" s="59">
        <v>34567.5</v>
      </c>
      <c r="H43" s="59">
        <v>34467.5</v>
      </c>
      <c r="I43" s="59">
        <v>34467.5</v>
      </c>
      <c r="J43" s="245">
        <v>34467.5</v>
      </c>
      <c r="K43" s="189"/>
      <c r="L43" s="189"/>
      <c r="M43" s="188">
        <f t="shared" si="2"/>
        <v>0</v>
      </c>
      <c r="N43" s="189"/>
      <c r="O43" s="189"/>
      <c r="P43" s="189"/>
      <c r="Q43" s="189"/>
      <c r="R43" s="242"/>
      <c r="S43" s="243"/>
      <c r="T43" s="189"/>
      <c r="U43" s="189"/>
      <c r="V43" s="189"/>
      <c r="W43" s="189"/>
      <c r="X43" s="189"/>
    </row>
    <row r="44" spans="1:24" x14ac:dyDescent="0.25">
      <c r="B44" s="61">
        <v>0.01</v>
      </c>
      <c r="C44" s="59">
        <v>36004.375</v>
      </c>
      <c r="D44" s="59">
        <v>35754.375</v>
      </c>
      <c r="E44" s="59">
        <v>35610.625</v>
      </c>
      <c r="F44" s="59">
        <v>35485.625</v>
      </c>
      <c r="G44" s="59">
        <v>35360.625</v>
      </c>
      <c r="H44" s="59">
        <v>35260.625</v>
      </c>
      <c r="I44" s="59">
        <v>35260.625</v>
      </c>
      <c r="J44" s="245">
        <v>35260.625</v>
      </c>
      <c r="K44" s="189"/>
      <c r="L44" s="189"/>
      <c r="M44" s="188">
        <f t="shared" si="2"/>
        <v>0</v>
      </c>
      <c r="N44" s="189"/>
      <c r="O44" s="189"/>
      <c r="P44" s="189"/>
      <c r="Q44" s="189"/>
      <c r="R44" s="242"/>
      <c r="S44" s="243"/>
      <c r="T44" s="189"/>
      <c r="U44" s="189"/>
      <c r="V44" s="189"/>
      <c r="W44" s="189"/>
      <c r="X44" s="189"/>
    </row>
    <row r="45" spans="1:24" ht="55.2" x14ac:dyDescent="0.25">
      <c r="B45" s="58">
        <v>1.2500000000000001E-2</v>
      </c>
      <c r="C45" s="59">
        <v>36797.5</v>
      </c>
      <c r="D45" s="59">
        <v>36547.5</v>
      </c>
      <c r="E45" s="59">
        <v>36403.75</v>
      </c>
      <c r="F45" s="59">
        <v>36278.75</v>
      </c>
      <c r="G45" s="59">
        <v>36153.75</v>
      </c>
      <c r="H45" s="59">
        <v>36053.75</v>
      </c>
      <c r="I45" s="59">
        <v>36053.75</v>
      </c>
      <c r="J45" s="245">
        <v>36053.75</v>
      </c>
      <c r="K45" s="189"/>
      <c r="L45" s="189"/>
      <c r="M45" s="188">
        <f t="shared" si="2"/>
        <v>0</v>
      </c>
      <c r="N45" s="189"/>
      <c r="O45" s="189"/>
      <c r="P45" s="189"/>
      <c r="Q45" s="189"/>
      <c r="R45" s="242"/>
      <c r="S45" s="240"/>
      <c r="T45" s="240" t="s">
        <v>169</v>
      </c>
      <c r="U45" s="240" t="s">
        <v>170</v>
      </c>
      <c r="V45" s="240" t="s">
        <v>171</v>
      </c>
      <c r="W45" s="240" t="s">
        <v>172</v>
      </c>
      <c r="X45" s="240" t="s">
        <v>177</v>
      </c>
    </row>
    <row r="46" spans="1:24" x14ac:dyDescent="0.25">
      <c r="B46" s="58">
        <v>1.4999999999999999E-2</v>
      </c>
      <c r="C46" s="59">
        <v>37590.625</v>
      </c>
      <c r="D46" s="59">
        <v>37340.625</v>
      </c>
      <c r="E46" s="59">
        <v>37196.875</v>
      </c>
      <c r="F46" s="59">
        <v>37071.875</v>
      </c>
      <c r="G46" s="59">
        <v>36946.875</v>
      </c>
      <c r="H46" s="59">
        <v>36846.875</v>
      </c>
      <c r="I46" s="59">
        <v>36846.875</v>
      </c>
      <c r="J46" s="245">
        <v>36846.875</v>
      </c>
      <c r="K46" s="189"/>
      <c r="L46" s="189"/>
      <c r="M46" s="188">
        <f t="shared" si="2"/>
        <v>0</v>
      </c>
      <c r="N46" s="189"/>
      <c r="O46" s="189"/>
      <c r="P46" s="189"/>
      <c r="Q46" s="189"/>
      <c r="R46" s="242"/>
      <c r="S46" s="189"/>
      <c r="T46" s="189" t="s">
        <v>298</v>
      </c>
      <c r="U46" s="208" t="s">
        <v>193</v>
      </c>
      <c r="V46" s="189"/>
      <c r="W46" s="189"/>
      <c r="X46" s="189"/>
    </row>
    <row r="47" spans="1:24" x14ac:dyDescent="0.25">
      <c r="B47" s="58">
        <v>1.7500000000000002E-2</v>
      </c>
      <c r="C47" s="59">
        <v>38383.75</v>
      </c>
      <c r="D47" s="59">
        <v>38133.75</v>
      </c>
      <c r="E47" s="59">
        <v>37990</v>
      </c>
      <c r="F47" s="59">
        <v>37865</v>
      </c>
      <c r="G47" s="59">
        <v>37740</v>
      </c>
      <c r="H47" s="59">
        <v>37640</v>
      </c>
      <c r="I47" s="59">
        <v>37640</v>
      </c>
      <c r="J47" s="245">
        <v>37640</v>
      </c>
      <c r="K47" s="189"/>
      <c r="L47" s="189"/>
      <c r="M47" s="188">
        <f t="shared" si="2"/>
        <v>0</v>
      </c>
      <c r="N47" s="189"/>
      <c r="O47" s="189"/>
      <c r="P47" s="189"/>
      <c r="Q47" s="189"/>
      <c r="R47" s="242"/>
      <c r="S47" s="189"/>
      <c r="T47" s="189" t="s">
        <v>298</v>
      </c>
      <c r="U47" s="208" t="s">
        <v>197</v>
      </c>
      <c r="V47" s="189"/>
      <c r="W47" s="189"/>
      <c r="X47" s="189"/>
    </row>
    <row r="48" spans="1:24" x14ac:dyDescent="0.25">
      <c r="B48" s="58">
        <v>0.02</v>
      </c>
      <c r="C48" s="59">
        <v>39176.875</v>
      </c>
      <c r="D48" s="59">
        <v>38926.875</v>
      </c>
      <c r="E48" s="59">
        <v>38783.125</v>
      </c>
      <c r="F48" s="59">
        <v>38658.125</v>
      </c>
      <c r="G48" s="59">
        <v>38533.125</v>
      </c>
      <c r="H48" s="59">
        <v>38433.125</v>
      </c>
      <c r="I48" s="59">
        <v>38433.125</v>
      </c>
      <c r="J48" s="245">
        <v>38433.125</v>
      </c>
      <c r="K48" s="189"/>
      <c r="L48" s="189"/>
      <c r="M48" s="188">
        <f t="shared" si="2"/>
        <v>0</v>
      </c>
      <c r="N48" s="189"/>
      <c r="O48" s="189"/>
      <c r="P48" s="189"/>
      <c r="Q48" s="189"/>
      <c r="R48" s="242"/>
      <c r="S48" s="189"/>
      <c r="T48" s="189"/>
      <c r="U48" s="189"/>
      <c r="V48" s="189"/>
      <c r="W48" s="189"/>
      <c r="X48" s="189" t="s">
        <v>299</v>
      </c>
    </row>
    <row r="49" spans="2:24" x14ac:dyDescent="0.25">
      <c r="B49" s="58">
        <v>2.2499999999999999E-2</v>
      </c>
      <c r="C49" s="59">
        <v>39970</v>
      </c>
      <c r="D49" s="59">
        <v>39720</v>
      </c>
      <c r="E49" s="59">
        <v>39576.25</v>
      </c>
      <c r="F49" s="59">
        <v>39451.25</v>
      </c>
      <c r="G49" s="59">
        <v>39326.25</v>
      </c>
      <c r="H49" s="59">
        <v>39226.25</v>
      </c>
      <c r="I49" s="59">
        <v>39226.25</v>
      </c>
      <c r="J49" s="245">
        <v>39226.25</v>
      </c>
      <c r="K49" s="189"/>
      <c r="L49" s="189"/>
      <c r="M49" s="188">
        <f t="shared" si="2"/>
        <v>0</v>
      </c>
      <c r="N49" s="189"/>
      <c r="O49" s="189"/>
      <c r="P49" s="189"/>
      <c r="Q49" s="189"/>
      <c r="R49" s="242"/>
      <c r="S49" s="189"/>
      <c r="T49" s="189"/>
      <c r="U49" s="189"/>
      <c r="V49" s="208" t="s">
        <v>187</v>
      </c>
      <c r="W49" s="194" t="s">
        <v>300</v>
      </c>
      <c r="X49" s="189"/>
    </row>
    <row r="50" spans="2:24" x14ac:dyDescent="0.25">
      <c r="B50" s="58">
        <v>2.5000000000000001E-2</v>
      </c>
      <c r="C50" s="59">
        <v>40763.125</v>
      </c>
      <c r="D50" s="59">
        <v>40513.125</v>
      </c>
      <c r="E50" s="59">
        <v>40369.375</v>
      </c>
      <c r="F50" s="59">
        <v>40244.375</v>
      </c>
      <c r="G50" s="59">
        <v>40119.375</v>
      </c>
      <c r="H50" s="59">
        <v>40019.375</v>
      </c>
      <c r="I50" s="59">
        <v>40019.375</v>
      </c>
      <c r="J50" s="245">
        <v>40019.375</v>
      </c>
      <c r="K50" s="189"/>
      <c r="L50" s="189"/>
      <c r="M50" s="188">
        <f t="shared" si="2"/>
        <v>0</v>
      </c>
      <c r="N50" s="189"/>
      <c r="O50" s="189"/>
      <c r="P50" s="189"/>
      <c r="Q50" s="189"/>
      <c r="R50" s="242"/>
      <c r="S50" s="189"/>
      <c r="T50" s="189"/>
      <c r="U50" s="189"/>
      <c r="V50" s="208" t="s">
        <v>189</v>
      </c>
      <c r="W50" s="194" t="s">
        <v>300</v>
      </c>
      <c r="X50" s="189"/>
    </row>
    <row r="51" spans="2:24" x14ac:dyDescent="0.25">
      <c r="B51" s="58">
        <v>2.75E-2</v>
      </c>
      <c r="C51" s="59">
        <v>41556.25</v>
      </c>
      <c r="D51" s="59">
        <v>41306.25</v>
      </c>
      <c r="E51" s="59">
        <v>41162.5</v>
      </c>
      <c r="F51" s="59">
        <v>41037.5</v>
      </c>
      <c r="G51" s="59">
        <v>40912.5</v>
      </c>
      <c r="H51" s="59">
        <v>40812.5</v>
      </c>
      <c r="I51" s="59">
        <v>40812.5</v>
      </c>
      <c r="J51" s="245">
        <v>40812.5</v>
      </c>
      <c r="K51" s="189"/>
      <c r="L51" s="189"/>
      <c r="M51" s="188">
        <f t="shared" si="2"/>
        <v>0</v>
      </c>
      <c r="N51" s="189"/>
      <c r="O51" s="189"/>
      <c r="P51" s="189"/>
      <c r="Q51" s="189"/>
      <c r="R51" s="242"/>
      <c r="S51" s="189"/>
      <c r="T51" s="189"/>
      <c r="U51" s="189"/>
      <c r="V51" s="189"/>
      <c r="W51" s="189"/>
      <c r="X51" s="189"/>
    </row>
    <row r="52" spans="2:24" x14ac:dyDescent="0.25">
      <c r="B52" s="58">
        <v>0.03</v>
      </c>
      <c r="C52" s="59">
        <v>42349.375</v>
      </c>
      <c r="D52" s="59">
        <v>42099.375</v>
      </c>
      <c r="E52" s="59">
        <v>41955.625</v>
      </c>
      <c r="F52" s="59">
        <v>41830.625</v>
      </c>
      <c r="G52" s="59">
        <v>41705.625</v>
      </c>
      <c r="H52" s="59">
        <v>41605.625</v>
      </c>
      <c r="I52" s="59">
        <v>41605.625</v>
      </c>
      <c r="J52" s="245">
        <v>41605.625</v>
      </c>
      <c r="K52" s="189"/>
      <c r="L52" s="189"/>
      <c r="M52" s="188">
        <f t="shared" si="2"/>
        <v>0</v>
      </c>
      <c r="N52" s="189"/>
      <c r="O52" s="189"/>
      <c r="P52" s="189"/>
      <c r="Q52" s="189"/>
      <c r="R52" s="242"/>
      <c r="S52" s="189"/>
      <c r="T52" s="189"/>
      <c r="U52" s="189"/>
      <c r="V52" s="189"/>
      <c r="W52" s="189"/>
      <c r="X52" s="189"/>
    </row>
  </sheetData>
  <phoneticPr fontId="14" type="noConversion"/>
  <conditionalFormatting sqref="C42:J52">
    <cfRule type="cellIs" dxfId="1" priority="1" operator="greaterThan">
      <formula>40369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86C5D1-7DC4-422A-90F7-43C87D27FBBB}">
  <sheetPr>
    <tabColor rgb="FFFF99FF"/>
  </sheetPr>
  <dimension ref="A1:T61"/>
  <sheetViews>
    <sheetView rightToLeft="1" topLeftCell="C1" zoomScale="85" zoomScaleNormal="85" workbookViewId="0">
      <selection activeCell="P17" sqref="P17"/>
    </sheetView>
  </sheetViews>
  <sheetFormatPr defaultColWidth="8.69921875" defaultRowHeight="15.6" x14ac:dyDescent="0.25"/>
  <cols>
    <col min="1" max="1" width="11.09765625" style="162" customWidth="1"/>
    <col min="2" max="2" width="14.8984375" style="162" customWidth="1"/>
    <col min="3" max="3" width="15.3984375" style="162" customWidth="1"/>
    <col min="4" max="4" width="13.19921875" style="162" customWidth="1"/>
    <col min="5" max="5" width="18.59765625" style="162" customWidth="1"/>
    <col min="6" max="6" width="19" style="162" hidden="1" customWidth="1"/>
    <col min="7" max="7" width="8.69921875" style="137" hidden="1" customWidth="1"/>
    <col min="8" max="8" width="12.19921875" style="137" customWidth="1"/>
    <col min="9" max="9" width="17.296875" style="137" customWidth="1"/>
    <col min="10" max="10" width="18.3984375" style="137" customWidth="1"/>
    <col min="11" max="11" width="9.09765625" style="137" hidden="1" customWidth="1"/>
    <col min="12" max="12" width="11" style="137" hidden="1" customWidth="1"/>
    <col min="13" max="13" width="14.8984375" style="137" customWidth="1"/>
    <col min="14" max="14" width="14.09765625" style="137" customWidth="1"/>
    <col min="15" max="15" width="11.5" style="137" bestFit="1" customWidth="1"/>
    <col min="16" max="16" width="16.8984375" style="137" bestFit="1" customWidth="1"/>
    <col min="17" max="17" width="14.69921875" style="137" customWidth="1"/>
    <col min="18" max="18" width="74.69921875" style="137" customWidth="1"/>
    <col min="19" max="19" width="16.3984375" style="137" customWidth="1"/>
    <col min="20" max="20" width="29.59765625" style="137" customWidth="1"/>
    <col min="21" max="16384" width="8.69921875" style="137"/>
  </cols>
  <sheetData>
    <row r="1" spans="1:20" ht="31.2" x14ac:dyDescent="0.25">
      <c r="A1" s="130" t="s">
        <v>367</v>
      </c>
      <c r="B1" s="131" t="s">
        <v>368</v>
      </c>
      <c r="C1" s="130" t="s">
        <v>369</v>
      </c>
      <c r="D1" s="132" t="s">
        <v>370</v>
      </c>
      <c r="E1" s="133" t="s">
        <v>371</v>
      </c>
      <c r="F1" s="131" t="s">
        <v>372</v>
      </c>
      <c r="G1" s="132" t="s">
        <v>373</v>
      </c>
      <c r="H1" s="134" t="s">
        <v>374</v>
      </c>
      <c r="I1" s="135" t="s">
        <v>375</v>
      </c>
      <c r="J1" s="136" t="s">
        <v>376</v>
      </c>
      <c r="K1" s="136" t="s">
        <v>377</v>
      </c>
      <c r="L1" s="136" t="s">
        <v>378</v>
      </c>
      <c r="M1" s="135" t="s">
        <v>379</v>
      </c>
      <c r="N1" s="136" t="s">
        <v>380</v>
      </c>
      <c r="P1" s="138"/>
      <c r="Q1" s="138"/>
      <c r="R1" s="139"/>
    </row>
    <row r="2" spans="1:20" x14ac:dyDescent="0.25">
      <c r="A2" s="140" t="s">
        <v>381</v>
      </c>
      <c r="B2" s="141">
        <v>44201</v>
      </c>
      <c r="C2" s="140" t="s">
        <v>325</v>
      </c>
      <c r="D2" s="140" t="s">
        <v>382</v>
      </c>
      <c r="E2" s="140" t="s">
        <v>46</v>
      </c>
      <c r="F2" s="140" t="s">
        <v>383</v>
      </c>
      <c r="G2" s="142" t="s">
        <v>384</v>
      </c>
      <c r="H2" s="143">
        <v>0.03</v>
      </c>
      <c r="I2" s="144">
        <v>102356</v>
      </c>
      <c r="J2" s="144">
        <f ca="1">(YEAR(TODAY())-YEAR(B2))*VLOOKUP(F2,'[5]נתונים נוספים'!$A$3:$C$9,3,FALSE)+VLOOKUP(F2,'[5]נתונים נוספים'!$A$3:$C$9,2,FALSE)</f>
        <v>24500</v>
      </c>
      <c r="K2" s="145" t="str">
        <f t="shared" ref="K2:K28" si="0">IF(MONTH(B2)&lt;=$H$58,$I$58,IF(MONTH(B2)&lt;=$H$59,$I$59,IF(MONTH(B2)&lt;=$H$60,$I$60,$I$61)))</f>
        <v>רבעון 1</v>
      </c>
      <c r="L2" s="145" t="str">
        <f>VLOOKUP(K2,'[5]נתונים נוספים'!$A$14:$M$17,VLOOKUP(E2,'[5]נתונים נוספים'!$Q$8:$R$19,2,FALSE),FALSE)</f>
        <v>מוצר חינם</v>
      </c>
      <c r="M2" s="146">
        <f t="shared" ref="M2:M27" si="1">IF(K2=$J$48,DATE(YEAR(B2)+$K$48,MONTH(B2),DAY(B2)),IF(OR(YEAR(B2)=$J$49,YEAR(B2)=$J$50),DATE(YEAR(B2)+$K$49,MONTH(B2),DAY(B2)+$L$49),DATE(YEAR($J$51)+$K$51,MONTH($J$51),DAY($J$51))))</f>
        <v>46397</v>
      </c>
      <c r="N2" s="145">
        <f t="shared" ref="N2:N28" si="2">IF(WEEKDAY(M2)=$J$52,$K$52,WEEKDAY(M2))</f>
        <v>1</v>
      </c>
      <c r="O2" s="147"/>
      <c r="P2" s="139"/>
      <c r="Q2" s="139"/>
      <c r="R2" s="139"/>
      <c r="T2" s="139"/>
    </row>
    <row r="3" spans="1:20" x14ac:dyDescent="0.25">
      <c r="A3" s="140" t="s">
        <v>385</v>
      </c>
      <c r="B3" s="141">
        <v>44207</v>
      </c>
      <c r="C3" s="140" t="s">
        <v>328</v>
      </c>
      <c r="D3" s="140" t="s">
        <v>386</v>
      </c>
      <c r="E3" s="140" t="s">
        <v>52</v>
      </c>
      <c r="F3" s="140" t="s">
        <v>387</v>
      </c>
      <c r="G3" s="142" t="s">
        <v>388</v>
      </c>
      <c r="H3" s="143">
        <v>0.01</v>
      </c>
      <c r="I3" s="144">
        <v>256968</v>
      </c>
      <c r="J3" s="144">
        <f ca="1">(YEAR(TODAY())-YEAR(B3))*VLOOKUP(F3,'[5]נתונים נוספים'!$A$3:$C$9,3,FALSE)+VLOOKUP(F3,'[5]נתונים נוספים'!$A$3:$C$9,2,FALSE)</f>
        <v>26500</v>
      </c>
      <c r="K3" s="145" t="str">
        <f t="shared" si="0"/>
        <v>רבעון 1</v>
      </c>
      <c r="L3" s="145" t="str">
        <f>VLOOKUP(K3,'[5]נתונים נוספים'!$A$14:$M$17,VLOOKUP(E3,'[5]נתונים נוספים'!$Q$8:$R$19,2,FALSE),FALSE)</f>
        <v>זיכוי ברכישה הבאה</v>
      </c>
      <c r="M3" s="146">
        <f t="shared" si="1"/>
        <v>46403</v>
      </c>
      <c r="N3" s="145" t="str">
        <f t="shared" si="2"/>
        <v>ייקבע מועד אחר</v>
      </c>
    </row>
    <row r="4" spans="1:20" x14ac:dyDescent="0.25">
      <c r="A4" s="140" t="s">
        <v>389</v>
      </c>
      <c r="B4" s="141">
        <v>43113</v>
      </c>
      <c r="C4" s="140" t="s">
        <v>330</v>
      </c>
      <c r="D4" s="140" t="s">
        <v>390</v>
      </c>
      <c r="E4" s="140" t="s">
        <v>391</v>
      </c>
      <c r="F4" s="140" t="s">
        <v>392</v>
      </c>
      <c r="G4" s="142" t="s">
        <v>384</v>
      </c>
      <c r="H4" s="143">
        <v>0.05</v>
      </c>
      <c r="I4" s="144">
        <v>110875</v>
      </c>
      <c r="J4" s="144">
        <f ca="1">(YEAR(TODAY())-YEAR(B4))*VLOOKUP(F4,'[5]נתונים נוספים'!$A$3:$C$9,3,FALSE)+VLOOKUP(F4,'[5]נתונים נוספים'!$A$3:$C$9,2,FALSE)</f>
        <v>19000</v>
      </c>
      <c r="K4" s="145" t="str">
        <f t="shared" si="0"/>
        <v>רבעון 1</v>
      </c>
      <c r="L4" s="145" t="str">
        <f>VLOOKUP(K4,'[5]נתונים נוספים'!$A$14:$M$17,VLOOKUP(E4,'[5]נתונים נוספים'!$Q$8:$R$19,2,FALSE),FALSE)</f>
        <v>אין הטבה</v>
      </c>
      <c r="M4" s="146">
        <f t="shared" si="1"/>
        <v>45347</v>
      </c>
      <c r="N4" s="145">
        <f t="shared" si="2"/>
        <v>1</v>
      </c>
    </row>
    <row r="5" spans="1:20" x14ac:dyDescent="0.25">
      <c r="A5" s="140" t="s">
        <v>393</v>
      </c>
      <c r="B5" s="141">
        <v>43125</v>
      </c>
      <c r="C5" s="140" t="s">
        <v>332</v>
      </c>
      <c r="D5" s="140" t="s">
        <v>394</v>
      </c>
      <c r="E5" s="140" t="s">
        <v>105</v>
      </c>
      <c r="F5" s="140" t="s">
        <v>395</v>
      </c>
      <c r="G5" s="142" t="s">
        <v>388</v>
      </c>
      <c r="H5" s="143">
        <v>0.01</v>
      </c>
      <c r="I5" s="144">
        <v>236000</v>
      </c>
      <c r="J5" s="144">
        <f ca="1">(YEAR(TODAY())-YEAR(B5))*VLOOKUP(F5,'[5]נתונים נוספים'!$A$3:$C$9,3,FALSE)+VLOOKUP(F5,'[5]נתונים נוספים'!$A$3:$C$9,2,FALSE)</f>
        <v>14500</v>
      </c>
      <c r="K5" s="145" t="str">
        <f t="shared" si="0"/>
        <v>רבעון 1</v>
      </c>
      <c r="L5" s="145" t="str">
        <f>VLOOKUP(K5,'[5]נתונים נוספים'!$A$14:$M$17,VLOOKUP(E5,'[5]נתונים נוספים'!$Q$8:$R$19,2,FALSE),FALSE)</f>
        <v>הנחה על הרכישה הבאה</v>
      </c>
      <c r="M5" s="146">
        <f t="shared" si="1"/>
        <v>45347</v>
      </c>
      <c r="N5" s="145">
        <f t="shared" si="2"/>
        <v>1</v>
      </c>
    </row>
    <row r="6" spans="1:20" x14ac:dyDescent="0.25">
      <c r="A6" s="140" t="s">
        <v>396</v>
      </c>
      <c r="B6" s="141">
        <v>43857</v>
      </c>
      <c r="C6" s="140" t="s">
        <v>333</v>
      </c>
      <c r="D6" s="140" t="s">
        <v>397</v>
      </c>
      <c r="E6" s="140" t="s">
        <v>398</v>
      </c>
      <c r="F6" s="140" t="s">
        <v>399</v>
      </c>
      <c r="G6" s="142" t="s">
        <v>384</v>
      </c>
      <c r="H6" s="143">
        <v>7.0000000000000007E-2</v>
      </c>
      <c r="I6" s="144">
        <v>100000</v>
      </c>
      <c r="J6" s="144">
        <f ca="1">(YEAR(TODAY())-YEAR(B6))*VLOOKUP(F6,'[5]נתונים נוספים'!$A$3:$C$9,3,FALSE)+VLOOKUP(F6,'[5]נתונים נוספים'!$A$3:$C$9,2,FALSE)</f>
        <v>13300</v>
      </c>
      <c r="K6" s="145" t="str">
        <f t="shared" si="0"/>
        <v>רבעון 1</v>
      </c>
      <c r="L6" s="145" t="str">
        <f>VLOOKUP(K6,'[5]נתונים נוספים'!$A$14:$M$17,VLOOKUP(E6,'[5]נתונים נוספים'!$Q$8:$R$19,2,FALSE),FALSE)</f>
        <v>זיכוי ברכישה הבאה</v>
      </c>
      <c r="M6" s="146">
        <f t="shared" si="1"/>
        <v>46054</v>
      </c>
      <c r="N6" s="145">
        <f t="shared" si="2"/>
        <v>1</v>
      </c>
    </row>
    <row r="7" spans="1:20" x14ac:dyDescent="0.25">
      <c r="A7" s="140" t="s">
        <v>400</v>
      </c>
      <c r="B7" s="141">
        <v>43865</v>
      </c>
      <c r="C7" s="140" t="s">
        <v>332</v>
      </c>
      <c r="D7" s="140" t="s">
        <v>401</v>
      </c>
      <c r="E7" s="140" t="s">
        <v>402</v>
      </c>
      <c r="F7" s="140" t="s">
        <v>403</v>
      </c>
      <c r="G7" s="142" t="s">
        <v>384</v>
      </c>
      <c r="H7" s="143">
        <v>7.0000000000000007E-2</v>
      </c>
      <c r="I7" s="144">
        <v>280756</v>
      </c>
      <c r="J7" s="144">
        <f ca="1">(YEAR(TODAY())-YEAR(B7))*VLOOKUP(F7,'[5]נתונים נוספים'!$A$3:$C$9,3,FALSE)+VLOOKUP(F7,'[5]נתונים נוספים'!$A$3:$C$9,2,FALSE)</f>
        <v>17400</v>
      </c>
      <c r="K7" s="145" t="str">
        <f t="shared" si="0"/>
        <v>רבעון 1</v>
      </c>
      <c r="L7" s="145" t="str">
        <f>VLOOKUP(K7,'[5]נתונים נוספים'!$A$14:$M$17,VLOOKUP(E7,'[5]נתונים נוספים'!$Q$8:$R$19,2,FALSE),FALSE)</f>
        <v>מוצר חינם</v>
      </c>
      <c r="M7" s="146">
        <f t="shared" si="1"/>
        <v>46062</v>
      </c>
      <c r="N7" s="145">
        <f t="shared" si="2"/>
        <v>2</v>
      </c>
    </row>
    <row r="8" spans="1:20" x14ac:dyDescent="0.25">
      <c r="A8" s="140" t="s">
        <v>404</v>
      </c>
      <c r="B8" s="141">
        <v>43509</v>
      </c>
      <c r="C8" s="140" t="s">
        <v>335</v>
      </c>
      <c r="D8" s="140" t="s">
        <v>405</v>
      </c>
      <c r="E8" s="140" t="s">
        <v>105</v>
      </c>
      <c r="F8" s="140" t="s">
        <v>406</v>
      </c>
      <c r="G8" s="142" t="s">
        <v>384</v>
      </c>
      <c r="H8" s="143">
        <v>0.1</v>
      </c>
      <c r="I8" s="144">
        <v>456890</v>
      </c>
      <c r="J8" s="144">
        <f ca="1">(YEAR(TODAY())-YEAR(B8))*VLOOKUP(F8,'[5]נתונים נוספים'!$A$3:$C$9,3,FALSE)+VLOOKUP(F8,'[5]נתונים נוספים'!$A$3:$C$9,2,FALSE)</f>
        <v>13050</v>
      </c>
      <c r="K8" s="145" t="str">
        <f t="shared" si="0"/>
        <v>רבעון 1</v>
      </c>
      <c r="L8" s="145" t="str">
        <f>VLOOKUP(K8,'[5]נתונים נוספים'!$A$14:$M$17,VLOOKUP(E8,'[5]נתונים נוספים'!$Q$8:$R$19,2,FALSE),FALSE)</f>
        <v>הנחה על הרכישה הבאה</v>
      </c>
      <c r="M8" s="146">
        <f t="shared" si="1"/>
        <v>45347</v>
      </c>
      <c r="N8" s="145">
        <f t="shared" si="2"/>
        <v>1</v>
      </c>
    </row>
    <row r="9" spans="1:20" x14ac:dyDescent="0.25">
      <c r="A9" s="140" t="s">
        <v>407</v>
      </c>
      <c r="B9" s="141">
        <v>43552</v>
      </c>
      <c r="C9" s="140" t="s">
        <v>337</v>
      </c>
      <c r="D9" s="140" t="s">
        <v>408</v>
      </c>
      <c r="E9" s="140" t="s">
        <v>409</v>
      </c>
      <c r="F9" s="140" t="s">
        <v>383</v>
      </c>
      <c r="G9" s="142" t="s">
        <v>410</v>
      </c>
      <c r="H9" s="143">
        <v>0.15</v>
      </c>
      <c r="I9" s="144">
        <v>98653</v>
      </c>
      <c r="J9" s="144">
        <f ca="1">(YEAR(TODAY())-YEAR(B9))*VLOOKUP(F9,'[5]נתונים נוספים'!$A$3:$C$9,3,FALSE)+VLOOKUP(F9,'[5]נתונים נוספים'!$A$3:$C$9,2,FALSE)</f>
        <v>25500</v>
      </c>
      <c r="K9" s="145" t="str">
        <f t="shared" si="0"/>
        <v>רבעון 1</v>
      </c>
      <c r="L9" s="145" t="str">
        <f>VLOOKUP(K9,'[5]נתונים נוספים'!$A$14:$M$17,VLOOKUP(E9,'[5]נתונים נוספים'!$Q$8:$R$19,2,FALSE),FALSE)</f>
        <v>זיכוי ברכישה הבאה</v>
      </c>
      <c r="M9" s="146">
        <f t="shared" si="1"/>
        <v>45347</v>
      </c>
      <c r="N9" s="145">
        <f t="shared" si="2"/>
        <v>1</v>
      </c>
    </row>
    <row r="10" spans="1:20" x14ac:dyDescent="0.25">
      <c r="A10" s="140" t="s">
        <v>411</v>
      </c>
      <c r="B10" s="141">
        <v>43558</v>
      </c>
      <c r="C10" s="140" t="s">
        <v>338</v>
      </c>
      <c r="D10" s="140" t="s">
        <v>412</v>
      </c>
      <c r="E10" s="140" t="s">
        <v>413</v>
      </c>
      <c r="F10" s="140" t="s">
        <v>387</v>
      </c>
      <c r="G10" s="142" t="s">
        <v>388</v>
      </c>
      <c r="H10" s="143">
        <v>0.01</v>
      </c>
      <c r="I10" s="144">
        <v>75000</v>
      </c>
      <c r="J10" s="144">
        <f ca="1">(YEAR(TODAY())-YEAR(B10))*VLOOKUP(F10,'[5]נתונים נוספים'!$A$3:$C$9,3,FALSE)+VLOOKUP(F10,'[5]נתונים נוספים'!$A$3:$C$9,2,FALSE)</f>
        <v>27100</v>
      </c>
      <c r="K10" s="145" t="str">
        <f t="shared" si="0"/>
        <v>רבעון 2</v>
      </c>
      <c r="L10" s="145" t="str">
        <f>VLOOKUP(K10,'[5]נתונים נוספים'!$A$14:$M$17,VLOOKUP(E10,'[5]נתונים נוספים'!$Q$8:$R$19,2,FALSE),FALSE)</f>
        <v>מוצר חינם</v>
      </c>
      <c r="M10" s="146">
        <f t="shared" si="1"/>
        <v>45385</v>
      </c>
      <c r="N10" s="145">
        <f t="shared" si="2"/>
        <v>4</v>
      </c>
    </row>
    <row r="11" spans="1:20" x14ac:dyDescent="0.25">
      <c r="A11" s="140" t="s">
        <v>414</v>
      </c>
      <c r="B11" s="141">
        <v>43207</v>
      </c>
      <c r="C11" s="140" t="s">
        <v>340</v>
      </c>
      <c r="D11" s="140" t="s">
        <v>415</v>
      </c>
      <c r="E11" s="140" t="s">
        <v>94</v>
      </c>
      <c r="F11" s="140" t="s">
        <v>392</v>
      </c>
      <c r="G11" s="142" t="s">
        <v>410</v>
      </c>
      <c r="H11" s="143">
        <v>0.12</v>
      </c>
      <c r="I11" s="144">
        <v>120332</v>
      </c>
      <c r="J11" s="144">
        <f ca="1">(YEAR(TODAY())-YEAR(B11))*VLOOKUP(F11,'[5]נתונים נוספים'!$A$3:$C$9,3,FALSE)+VLOOKUP(F11,'[5]נתונים נוספים'!$A$3:$C$9,2,FALSE)</f>
        <v>19000</v>
      </c>
      <c r="K11" s="145" t="str">
        <f t="shared" si="0"/>
        <v>רבעון 2</v>
      </c>
      <c r="L11" s="145" t="str">
        <f>VLOOKUP(K11,'[5]נתונים נוספים'!$A$14:$M$17,VLOOKUP(E11,'[5]נתונים נוספים'!$Q$8:$R$19,2,FALSE),FALSE)</f>
        <v>זיכוי ברכישה הבאה</v>
      </c>
      <c r="M11" s="146">
        <f t="shared" si="1"/>
        <v>45033</v>
      </c>
      <c r="N11" s="145">
        <f t="shared" si="2"/>
        <v>2</v>
      </c>
    </row>
    <row r="12" spans="1:20" x14ac:dyDescent="0.25">
      <c r="A12" s="140" t="s">
        <v>416</v>
      </c>
      <c r="B12" s="141">
        <v>43213</v>
      </c>
      <c r="C12" s="140" t="s">
        <v>342</v>
      </c>
      <c r="D12" s="140" t="s">
        <v>417</v>
      </c>
      <c r="E12" s="140" t="s">
        <v>398</v>
      </c>
      <c r="F12" s="140" t="s">
        <v>395</v>
      </c>
      <c r="G12" s="142" t="s">
        <v>384</v>
      </c>
      <c r="H12" s="143">
        <v>0.08</v>
      </c>
      <c r="I12" s="144">
        <v>140000</v>
      </c>
      <c r="J12" s="144">
        <f ca="1">(YEAR(TODAY())-YEAR(B12))*VLOOKUP(F12,'[5]נתונים נוספים'!$A$3:$C$9,3,FALSE)+VLOOKUP(F12,'[5]נתונים נוספים'!$A$3:$C$9,2,FALSE)</f>
        <v>14500</v>
      </c>
      <c r="K12" s="145" t="str">
        <f t="shared" si="0"/>
        <v>רבעון 2</v>
      </c>
      <c r="L12" s="145" t="str">
        <f>VLOOKUP(K12,'[5]נתונים נוספים'!$A$14:$M$17,VLOOKUP(E12,'[5]נתונים נוספים'!$Q$8:$R$19,2,FALSE),FALSE)</f>
        <v>אין הטבה</v>
      </c>
      <c r="M12" s="146">
        <f t="shared" si="1"/>
        <v>45039</v>
      </c>
      <c r="N12" s="145">
        <f t="shared" si="2"/>
        <v>1</v>
      </c>
    </row>
    <row r="13" spans="1:20" ht="16.2" thickBot="1" x14ac:dyDescent="0.3">
      <c r="A13" s="140" t="s">
        <v>418</v>
      </c>
      <c r="B13" s="141">
        <v>43216</v>
      </c>
      <c r="C13" s="140" t="s">
        <v>343</v>
      </c>
      <c r="D13" s="140" t="s">
        <v>419</v>
      </c>
      <c r="E13" s="140" t="s">
        <v>398</v>
      </c>
      <c r="F13" s="140" t="s">
        <v>399</v>
      </c>
      <c r="G13" s="142" t="s">
        <v>384</v>
      </c>
      <c r="H13" s="143">
        <v>0.06</v>
      </c>
      <c r="I13" s="144">
        <v>875875</v>
      </c>
      <c r="J13" s="144">
        <f ca="1">(YEAR(TODAY())-YEAR(B13))*VLOOKUP(F13,'[5]נתונים נוספים'!$A$3:$C$9,3,FALSE)+VLOOKUP(F13,'[5]נתונים נוספים'!$A$3:$C$9,2,FALSE)</f>
        <v>14400</v>
      </c>
      <c r="K13" s="145" t="str">
        <f t="shared" si="0"/>
        <v>רבעון 2</v>
      </c>
      <c r="L13" s="145" t="str">
        <f>VLOOKUP(K13,'[5]נתונים נוספים'!$A$14:$M$17,VLOOKUP(E13,'[5]נתונים נוספים'!$Q$8:$R$19,2,FALSE),FALSE)</f>
        <v>אין הטבה</v>
      </c>
      <c r="M13" s="146">
        <f t="shared" si="1"/>
        <v>45042</v>
      </c>
      <c r="N13" s="145">
        <f t="shared" si="2"/>
        <v>4</v>
      </c>
    </row>
    <row r="14" spans="1:20" ht="23.4" x14ac:dyDescent="0.25">
      <c r="A14" s="140" t="s">
        <v>420</v>
      </c>
      <c r="B14" s="141">
        <v>43221</v>
      </c>
      <c r="C14" s="140" t="s">
        <v>345</v>
      </c>
      <c r="D14" s="140" t="s">
        <v>421</v>
      </c>
      <c r="E14" s="140" t="s">
        <v>105</v>
      </c>
      <c r="F14" s="140" t="s">
        <v>403</v>
      </c>
      <c r="G14" s="142" t="s">
        <v>388</v>
      </c>
      <c r="H14" s="143">
        <v>0.01</v>
      </c>
      <c r="I14" s="144">
        <v>200000</v>
      </c>
      <c r="J14" s="144">
        <f ca="1">(YEAR(TODAY())-YEAR(B14))*VLOOKUP(F14,'[5]נתונים נוספים'!$A$3:$C$9,3,FALSE)+VLOOKUP(F14,'[5]נתונים נוספים'!$A$3:$C$9,2,FALSE)</f>
        <v>18200</v>
      </c>
      <c r="K14" s="145" t="str">
        <f t="shared" si="0"/>
        <v>רבעון 2</v>
      </c>
      <c r="L14" s="145" t="str">
        <f>VLOOKUP(K14,'[5]נתונים נוספים'!$A$14:$M$17,VLOOKUP(E14,'[5]נתונים נוספים'!$Q$8:$R$19,2,FALSE),FALSE)</f>
        <v>מוצר חינם</v>
      </c>
      <c r="M14" s="146">
        <f t="shared" si="1"/>
        <v>45047</v>
      </c>
      <c r="N14" s="145">
        <f t="shared" si="2"/>
        <v>2</v>
      </c>
      <c r="Q14" s="148"/>
      <c r="R14" s="149" t="s">
        <v>422</v>
      </c>
      <c r="S14" s="150"/>
    </row>
    <row r="15" spans="1:20" ht="18" x14ac:dyDescent="0.25">
      <c r="A15" s="140" t="s">
        <v>423</v>
      </c>
      <c r="B15" s="141">
        <v>43975</v>
      </c>
      <c r="C15" s="140" t="s">
        <v>347</v>
      </c>
      <c r="D15" s="140" t="s">
        <v>424</v>
      </c>
      <c r="E15" s="140" t="s">
        <v>46</v>
      </c>
      <c r="F15" s="140" t="s">
        <v>406</v>
      </c>
      <c r="G15" s="142" t="s">
        <v>384</v>
      </c>
      <c r="H15" s="143">
        <v>0.05</v>
      </c>
      <c r="I15" s="144">
        <v>360250</v>
      </c>
      <c r="J15" s="144">
        <f ca="1">(YEAR(TODAY())-YEAR(B15))*VLOOKUP(F15,'[5]נתונים נוספים'!$A$3:$C$9,3,FALSE)+VLOOKUP(F15,'[5]נתונים נוספים'!$A$3:$C$9,2,FALSE)</f>
        <v>12900</v>
      </c>
      <c r="K15" s="145" t="str">
        <f t="shared" si="0"/>
        <v>רבעון 2</v>
      </c>
      <c r="L15" s="145" t="str">
        <f>VLOOKUP(K15,'[5]נתונים נוספים'!$A$14:$M$17,VLOOKUP(E15,'[5]נתונים נוספים'!$Q$8:$R$19,2,FALSE),FALSE)</f>
        <v>הנחה על הרכישה הבאה</v>
      </c>
      <c r="M15" s="146">
        <f t="shared" si="1"/>
        <v>45801</v>
      </c>
      <c r="N15" s="145" t="str">
        <f t="shared" si="2"/>
        <v>ייקבע מועד אחר</v>
      </c>
      <c r="Q15" s="151">
        <v>1</v>
      </c>
      <c r="R15" s="152" t="s">
        <v>425</v>
      </c>
      <c r="S15" s="153"/>
    </row>
    <row r="16" spans="1:20" ht="18" x14ac:dyDescent="0.25">
      <c r="A16" s="140" t="s">
        <v>426</v>
      </c>
      <c r="B16" s="141">
        <v>43990</v>
      </c>
      <c r="C16" s="140" t="s">
        <v>348</v>
      </c>
      <c r="D16" s="140" t="s">
        <v>427</v>
      </c>
      <c r="E16" s="140" t="s">
        <v>94</v>
      </c>
      <c r="F16" s="140" t="s">
        <v>383</v>
      </c>
      <c r="G16" s="142" t="s">
        <v>384</v>
      </c>
      <c r="H16" s="143">
        <v>0.05</v>
      </c>
      <c r="I16" s="144">
        <v>422365</v>
      </c>
      <c r="J16" s="144">
        <f ca="1">(YEAR(TODAY())-YEAR(B16))*VLOOKUP(F16,'[5]נתונים נוספים'!$A$3:$C$9,3,FALSE)+VLOOKUP(F16,'[5]נתונים נוספים'!$A$3:$C$9,2,FALSE)</f>
        <v>25000</v>
      </c>
      <c r="K16" s="145" t="str">
        <f t="shared" si="0"/>
        <v>רבעון 2</v>
      </c>
      <c r="L16" s="145" t="str">
        <f>VLOOKUP(K16,'[5]נתונים נוספים'!$A$14:$M$17,VLOOKUP(E16,'[5]נתונים נוספים'!$Q$8:$R$19,2,FALSE),FALSE)</f>
        <v>זיכוי ברכישה הבאה</v>
      </c>
      <c r="M16" s="146">
        <f t="shared" si="1"/>
        <v>45816</v>
      </c>
      <c r="N16" s="145">
        <f t="shared" si="2"/>
        <v>1</v>
      </c>
      <c r="Q16" s="151"/>
      <c r="R16" s="152" t="s">
        <v>428</v>
      </c>
      <c r="S16" s="153"/>
    </row>
    <row r="17" spans="1:20" ht="18" x14ac:dyDescent="0.25">
      <c r="A17" s="140" t="s">
        <v>429</v>
      </c>
      <c r="B17" s="141">
        <v>43997</v>
      </c>
      <c r="C17" s="140" t="s">
        <v>349</v>
      </c>
      <c r="D17" s="140" t="s">
        <v>430</v>
      </c>
      <c r="E17" s="140" t="s">
        <v>409</v>
      </c>
      <c r="F17" s="140" t="s">
        <v>387</v>
      </c>
      <c r="G17" s="142" t="s">
        <v>384</v>
      </c>
      <c r="H17" s="143">
        <v>7.0000000000000007E-2</v>
      </c>
      <c r="I17" s="144">
        <v>123456</v>
      </c>
      <c r="J17" s="144">
        <f ca="1">(YEAR(TODAY())-YEAR(B17))*VLOOKUP(F17,'[5]נתונים נוספים'!$A$3:$C$9,3,FALSE)+VLOOKUP(F17,'[5]נתונים נוספים'!$A$3:$C$9,2,FALSE)</f>
        <v>26800</v>
      </c>
      <c r="K17" s="145" t="str">
        <f t="shared" si="0"/>
        <v>רבעון 2</v>
      </c>
      <c r="L17" s="145" t="str">
        <f>VLOOKUP(K17,'[5]נתונים נוספים'!$A$14:$M$17,VLOOKUP(E17,'[5]נתונים נוספים'!$Q$8:$R$19,2,FALSE),FALSE)</f>
        <v>הנחה על הרכישה הבאה</v>
      </c>
      <c r="M17" s="146">
        <f t="shared" si="1"/>
        <v>45823</v>
      </c>
      <c r="N17" s="145">
        <f t="shared" si="2"/>
        <v>1</v>
      </c>
      <c r="Q17" s="151"/>
      <c r="R17" s="152"/>
      <c r="S17" s="153"/>
    </row>
    <row r="18" spans="1:20" ht="18" x14ac:dyDescent="0.25">
      <c r="A18" s="140" t="s">
        <v>431</v>
      </c>
      <c r="B18" s="141">
        <v>43705</v>
      </c>
      <c r="C18" s="140" t="s">
        <v>342</v>
      </c>
      <c r="D18" s="140" t="s">
        <v>432</v>
      </c>
      <c r="E18" s="140" t="s">
        <v>409</v>
      </c>
      <c r="F18" s="140" t="s">
        <v>392</v>
      </c>
      <c r="G18" s="142" t="s">
        <v>384</v>
      </c>
      <c r="H18" s="143">
        <v>0.08</v>
      </c>
      <c r="I18" s="144">
        <v>187654</v>
      </c>
      <c r="J18" s="144">
        <f ca="1">(YEAR(TODAY())-YEAR(B18))*VLOOKUP(F18,'[5]נתונים נוספים'!$A$3:$C$9,3,FALSE)+VLOOKUP(F18,'[5]נתונים נוספים'!$A$3:$C$9,2,FALSE)</f>
        <v>18250</v>
      </c>
      <c r="K18" s="145" t="str">
        <f t="shared" si="0"/>
        <v>רבעון 3</v>
      </c>
      <c r="L18" s="145" t="str">
        <f>VLOOKUP(K18,'[5]נתונים נוספים'!$A$14:$M$17,VLOOKUP(E18,'[5]נתונים נוספים'!$Q$8:$R$19,2,FALSE),FALSE)</f>
        <v>מוצר חינם</v>
      </c>
      <c r="M18" s="146">
        <f t="shared" si="1"/>
        <v>45347</v>
      </c>
      <c r="N18" s="145">
        <f t="shared" si="2"/>
        <v>1</v>
      </c>
      <c r="Q18" s="151"/>
      <c r="R18" s="152"/>
      <c r="S18" s="153"/>
    </row>
    <row r="19" spans="1:20" ht="18" x14ac:dyDescent="0.25">
      <c r="A19" s="140" t="s">
        <v>433</v>
      </c>
      <c r="B19" s="141">
        <v>44438</v>
      </c>
      <c r="C19" s="140" t="s">
        <v>351</v>
      </c>
      <c r="D19" s="140" t="s">
        <v>434</v>
      </c>
      <c r="E19" s="140" t="s">
        <v>391</v>
      </c>
      <c r="F19" s="140" t="s">
        <v>395</v>
      </c>
      <c r="G19" s="142" t="s">
        <v>384</v>
      </c>
      <c r="H19" s="143">
        <v>0.05</v>
      </c>
      <c r="I19" s="144">
        <v>440000</v>
      </c>
      <c r="J19" s="144">
        <f ca="1">(YEAR(TODAY())-YEAR(B19))*VLOOKUP(F19,'[5]נתונים נוספים'!$A$3:$C$9,3,FALSE)+VLOOKUP(F19,'[5]נתונים נוספים'!$A$3:$C$9,2,FALSE)</f>
        <v>13750</v>
      </c>
      <c r="K19" s="145" t="str">
        <f t="shared" si="0"/>
        <v>רבעון 3</v>
      </c>
      <c r="L19" s="145" t="str">
        <f>VLOOKUP(K19,'[5]נתונים נוספים'!$A$14:$M$17,VLOOKUP(E19,'[5]נתונים נוספים'!$Q$8:$R$19,2,FALSE),FALSE)</f>
        <v>מוצר חינם</v>
      </c>
      <c r="M19" s="146">
        <f t="shared" si="1"/>
        <v>46634</v>
      </c>
      <c r="N19" s="145" t="str">
        <f t="shared" si="2"/>
        <v>ייקבע מועד אחר</v>
      </c>
      <c r="Q19" s="151">
        <v>2</v>
      </c>
      <c r="R19" s="152" t="s">
        <v>435</v>
      </c>
      <c r="S19" s="153"/>
    </row>
    <row r="20" spans="1:20" ht="18" x14ac:dyDescent="0.25">
      <c r="A20" s="140" t="s">
        <v>436</v>
      </c>
      <c r="B20" s="141">
        <v>43710</v>
      </c>
      <c r="C20" s="140" t="s">
        <v>352</v>
      </c>
      <c r="D20" s="140" t="s">
        <v>437</v>
      </c>
      <c r="E20" s="140" t="s">
        <v>59</v>
      </c>
      <c r="F20" s="140" t="s">
        <v>403</v>
      </c>
      <c r="G20" s="142" t="s">
        <v>410</v>
      </c>
      <c r="H20" s="143">
        <v>0.12</v>
      </c>
      <c r="I20" s="144">
        <v>365125</v>
      </c>
      <c r="J20" s="144">
        <f ca="1">(YEAR(TODAY())-YEAR(B20))*VLOOKUP(F20,'[5]נתונים נוספים'!$A$3:$C$9,3,FALSE)+VLOOKUP(F20,'[5]נתונים נוספים'!$A$3:$C$9,2,FALSE)</f>
        <v>17800</v>
      </c>
      <c r="K20" s="145" t="str">
        <f t="shared" si="0"/>
        <v>רבעון 3</v>
      </c>
      <c r="L20" s="145" t="str">
        <f>VLOOKUP(K20,'[5]נתונים נוספים'!$A$14:$M$17,VLOOKUP(E20,'[5]נתונים נוספים'!$Q$8:$R$19,2,FALSE),FALSE)</f>
        <v>מוצר חינם</v>
      </c>
      <c r="M20" s="146">
        <f t="shared" si="1"/>
        <v>45347</v>
      </c>
      <c r="N20" s="145">
        <f t="shared" si="2"/>
        <v>1</v>
      </c>
      <c r="Q20" s="151"/>
      <c r="R20" s="152" t="s">
        <v>438</v>
      </c>
      <c r="S20" s="153"/>
    </row>
    <row r="21" spans="1:20" ht="18" x14ac:dyDescent="0.25">
      <c r="A21" s="140" t="s">
        <v>439</v>
      </c>
      <c r="B21" s="141">
        <v>43722</v>
      </c>
      <c r="C21" s="140" t="s">
        <v>353</v>
      </c>
      <c r="D21" s="140" t="s">
        <v>440</v>
      </c>
      <c r="E21" s="140" t="s">
        <v>409</v>
      </c>
      <c r="F21" s="140" t="s">
        <v>406</v>
      </c>
      <c r="G21" s="142" t="s">
        <v>384</v>
      </c>
      <c r="H21" s="143">
        <v>7.0000000000000007E-2</v>
      </c>
      <c r="I21" s="144">
        <v>321987</v>
      </c>
      <c r="J21" s="144">
        <f ca="1">(YEAR(TODAY())-YEAR(B21))*VLOOKUP(F21,'[5]נתונים נוספים'!$A$3:$C$9,3,FALSE)+VLOOKUP(F21,'[5]נתונים נוספים'!$A$3:$C$9,2,FALSE)</f>
        <v>13050</v>
      </c>
      <c r="K21" s="145" t="str">
        <f t="shared" si="0"/>
        <v>רבעון 3</v>
      </c>
      <c r="L21" s="145" t="str">
        <f>VLOOKUP(K21,'[5]נתונים נוספים'!$A$14:$M$17,VLOOKUP(E21,'[5]נתונים נוספים'!$Q$8:$R$19,2,FALSE),FALSE)</f>
        <v>מוצר חינם</v>
      </c>
      <c r="M21" s="146">
        <f t="shared" si="1"/>
        <v>45347</v>
      </c>
      <c r="N21" s="145">
        <f t="shared" si="2"/>
        <v>1</v>
      </c>
      <c r="Q21" s="151"/>
      <c r="R21" s="152"/>
      <c r="S21" s="153"/>
    </row>
    <row r="22" spans="1:20" ht="18" x14ac:dyDescent="0.25">
      <c r="A22" s="140" t="s">
        <v>441</v>
      </c>
      <c r="B22" s="141">
        <v>43365</v>
      </c>
      <c r="C22" s="140" t="s">
        <v>354</v>
      </c>
      <c r="D22" s="140" t="s">
        <v>442</v>
      </c>
      <c r="E22" s="140" t="s">
        <v>105</v>
      </c>
      <c r="F22" s="140" t="s">
        <v>383</v>
      </c>
      <c r="G22" s="142" t="s">
        <v>384</v>
      </c>
      <c r="H22" s="143">
        <v>0.08</v>
      </c>
      <c r="I22" s="144">
        <v>133455</v>
      </c>
      <c r="J22" s="144">
        <f ca="1">(YEAR(TODAY())-YEAR(B22))*VLOOKUP(F22,'[5]נתונים נוספים'!$A$3:$C$9,3,FALSE)+VLOOKUP(F22,'[5]נתונים נוספים'!$A$3:$C$9,2,FALSE)</f>
        <v>26000</v>
      </c>
      <c r="K22" s="145" t="str">
        <f t="shared" si="0"/>
        <v>רבעון 3</v>
      </c>
      <c r="L22" s="145" t="str">
        <f>VLOOKUP(K22,'[5]נתונים נוספים'!$A$14:$M$17,VLOOKUP(E22,'[5]נתונים נוספים'!$Q$8:$R$19,2,FALSE),FALSE)</f>
        <v>הנחה על הרכישה הבאה</v>
      </c>
      <c r="M22" s="146">
        <f t="shared" si="1"/>
        <v>45347</v>
      </c>
      <c r="N22" s="145">
        <f t="shared" si="2"/>
        <v>1</v>
      </c>
      <c r="Q22" s="151">
        <v>3</v>
      </c>
      <c r="R22" s="152" t="s">
        <v>443</v>
      </c>
      <c r="S22" s="153"/>
    </row>
    <row r="23" spans="1:20" ht="18" x14ac:dyDescent="0.25">
      <c r="A23" s="140" t="s">
        <v>444</v>
      </c>
      <c r="B23" s="141">
        <v>43389</v>
      </c>
      <c r="C23" s="140" t="s">
        <v>355</v>
      </c>
      <c r="D23" s="140" t="s">
        <v>445</v>
      </c>
      <c r="E23" s="140" t="s">
        <v>38</v>
      </c>
      <c r="F23" s="140" t="s">
        <v>387</v>
      </c>
      <c r="G23" s="142" t="s">
        <v>384</v>
      </c>
      <c r="H23" s="143">
        <v>7.0000000000000007E-2</v>
      </c>
      <c r="I23" s="144">
        <v>170000</v>
      </c>
      <c r="J23" s="144">
        <f ca="1">(YEAR(TODAY())-YEAR(B23))*VLOOKUP(F23,'[5]נתונים נוספים'!$A$3:$C$9,3,FALSE)+VLOOKUP(F23,'[5]נתונים נוספים'!$A$3:$C$9,2,FALSE)</f>
        <v>27400</v>
      </c>
      <c r="K23" s="145" t="str">
        <f t="shared" si="0"/>
        <v>רבעון 4</v>
      </c>
      <c r="L23" s="145" t="str">
        <f>VLOOKUP(K23,'[5]נתונים נוספים'!$A$14:$M$17,VLOOKUP(E23,'[5]נתונים נוספים'!$Q$8:$R$19,2,FALSE),FALSE)</f>
        <v>זיכוי ברכישה הבאה</v>
      </c>
      <c r="M23" s="146">
        <f t="shared" si="1"/>
        <v>45347</v>
      </c>
      <c r="N23" s="145">
        <f t="shared" si="2"/>
        <v>1</v>
      </c>
      <c r="Q23" s="151"/>
      <c r="R23" s="152"/>
      <c r="S23" s="153"/>
    </row>
    <row r="24" spans="1:20" ht="18" x14ac:dyDescent="0.25">
      <c r="A24" s="140" t="s">
        <v>446</v>
      </c>
      <c r="B24" s="141">
        <v>43405</v>
      </c>
      <c r="C24" s="140" t="s">
        <v>356</v>
      </c>
      <c r="D24" s="140" t="s">
        <v>447</v>
      </c>
      <c r="E24" s="140" t="s">
        <v>402</v>
      </c>
      <c r="F24" s="140" t="s">
        <v>392</v>
      </c>
      <c r="G24" s="142" t="s">
        <v>384</v>
      </c>
      <c r="H24" s="143">
        <v>0.05</v>
      </c>
      <c r="I24" s="144">
        <v>258000</v>
      </c>
      <c r="J24" s="144">
        <f ca="1">(YEAR(TODAY())-YEAR(B24))*VLOOKUP(F24,'[5]נתונים נוספים'!$A$3:$C$9,3,FALSE)+VLOOKUP(F24,'[5]נתונים נוספים'!$A$3:$C$9,2,FALSE)</f>
        <v>19000</v>
      </c>
      <c r="K24" s="145" t="str">
        <f t="shared" si="0"/>
        <v>רבעון 4</v>
      </c>
      <c r="L24" s="145" t="str">
        <f>VLOOKUP(K24,'[5]נתונים נוספים'!$A$14:$M$17,VLOOKUP(E24,'[5]נתונים נוספים'!$Q$8:$R$19,2,FALSE),FALSE)</f>
        <v>מוצר חינם</v>
      </c>
      <c r="M24" s="146">
        <f t="shared" si="1"/>
        <v>45347</v>
      </c>
      <c r="N24" s="145">
        <f t="shared" si="2"/>
        <v>1</v>
      </c>
      <c r="Q24" s="151">
        <v>4</v>
      </c>
      <c r="R24" s="152" t="s">
        <v>448</v>
      </c>
      <c r="S24" s="153"/>
    </row>
    <row r="25" spans="1:20" ht="18" x14ac:dyDescent="0.25">
      <c r="A25" s="140" t="s">
        <v>449</v>
      </c>
      <c r="B25" s="141">
        <v>43416</v>
      </c>
      <c r="C25" s="140" t="s">
        <v>357</v>
      </c>
      <c r="D25" s="140" t="s">
        <v>450</v>
      </c>
      <c r="E25" s="140" t="s">
        <v>451</v>
      </c>
      <c r="F25" s="140" t="s">
        <v>395</v>
      </c>
      <c r="G25" s="142" t="s">
        <v>388</v>
      </c>
      <c r="H25" s="143">
        <v>0.01</v>
      </c>
      <c r="I25" s="144">
        <v>145685</v>
      </c>
      <c r="J25" s="144">
        <f ca="1">(YEAR(TODAY())-YEAR(B25))*VLOOKUP(F25,'[5]נתונים נוספים'!$A$3:$C$9,3,FALSE)+VLOOKUP(F25,'[5]נתונים נוספים'!$A$3:$C$9,2,FALSE)</f>
        <v>14500</v>
      </c>
      <c r="K25" s="145" t="str">
        <f t="shared" si="0"/>
        <v>רבעון 4</v>
      </c>
      <c r="L25" s="145" t="str">
        <f>VLOOKUP(K25,'[5]נתונים נוספים'!$A$14:$M$17,VLOOKUP(E25,'[5]נתונים נוספים'!$Q$8:$R$19,2,FALSE),FALSE)</f>
        <v>מוצר חינם</v>
      </c>
      <c r="M25" s="146">
        <f t="shared" si="1"/>
        <v>45347</v>
      </c>
      <c r="N25" s="145">
        <f t="shared" si="2"/>
        <v>1</v>
      </c>
      <c r="Q25" s="151"/>
      <c r="R25" s="152"/>
      <c r="S25" s="153"/>
    </row>
    <row r="26" spans="1:20" ht="18" x14ac:dyDescent="0.25">
      <c r="A26" s="140" t="s">
        <v>452</v>
      </c>
      <c r="B26" s="141">
        <v>43423</v>
      </c>
      <c r="C26" s="140" t="s">
        <v>358</v>
      </c>
      <c r="D26" s="140" t="s">
        <v>453</v>
      </c>
      <c r="E26" s="140" t="s">
        <v>391</v>
      </c>
      <c r="F26" s="140" t="s">
        <v>399</v>
      </c>
      <c r="G26" s="142" t="s">
        <v>388</v>
      </c>
      <c r="H26" s="143">
        <v>0.01</v>
      </c>
      <c r="I26" s="144">
        <v>36000</v>
      </c>
      <c r="J26" s="144">
        <f ca="1">(YEAR(TODAY())-YEAR(B26))*VLOOKUP(F26,'[5]נתונים נוספים'!$A$3:$C$9,3,FALSE)+VLOOKUP(F26,'[5]נתונים נוספים'!$A$3:$C$9,2,FALSE)</f>
        <v>14400</v>
      </c>
      <c r="K26" s="145" t="str">
        <f t="shared" si="0"/>
        <v>רבעון 4</v>
      </c>
      <c r="L26" s="145" t="str">
        <f>VLOOKUP(K26,'[5]נתונים נוספים'!$A$14:$M$17,VLOOKUP(E26,'[5]נתונים נוספים'!$Q$8:$R$19,2,FALSE),FALSE)</f>
        <v>זיכוי ברכישה הבאה</v>
      </c>
      <c r="M26" s="146">
        <f t="shared" si="1"/>
        <v>45347</v>
      </c>
      <c r="N26" s="145">
        <f t="shared" si="2"/>
        <v>1</v>
      </c>
      <c r="Q26" s="151"/>
      <c r="R26" s="152" t="s">
        <v>454</v>
      </c>
      <c r="S26" s="153" t="s">
        <v>455</v>
      </c>
      <c r="T26" s="154"/>
    </row>
    <row r="27" spans="1:20" x14ac:dyDescent="0.25">
      <c r="A27" s="140" t="s">
        <v>456</v>
      </c>
      <c r="B27" s="141">
        <v>43426</v>
      </c>
      <c r="C27" s="140" t="s">
        <v>457</v>
      </c>
      <c r="D27" s="140" t="s">
        <v>458</v>
      </c>
      <c r="E27" s="140" t="s">
        <v>413</v>
      </c>
      <c r="F27" s="140" t="s">
        <v>403</v>
      </c>
      <c r="G27" s="142" t="s">
        <v>410</v>
      </c>
      <c r="H27" s="143">
        <v>0.2</v>
      </c>
      <c r="I27" s="144">
        <v>77000</v>
      </c>
      <c r="J27" s="144">
        <f ca="1">(YEAR(TODAY())-YEAR(B27))*VLOOKUP(F27,'[5]נתונים נוספים'!$A$3:$C$9,3,FALSE)+VLOOKUP(F27,'[5]נתונים נוספים'!$A$3:$C$9,2,FALSE)</f>
        <v>18200</v>
      </c>
      <c r="K27" s="145" t="str">
        <f t="shared" si="0"/>
        <v>רבעון 4</v>
      </c>
      <c r="L27" s="145" t="str">
        <f>VLOOKUP(K27,'[5]נתונים נוספים'!$A$14:$M$17,VLOOKUP(E27,'[5]נתונים נוספים'!$Q$8:$R$19,2,FALSE),FALSE)</f>
        <v>אין הטבה</v>
      </c>
      <c r="M27" s="146">
        <f t="shared" si="1"/>
        <v>45347</v>
      </c>
      <c r="N27" s="145">
        <f t="shared" si="2"/>
        <v>1</v>
      </c>
      <c r="Q27" s="155"/>
      <c r="R27" s="156"/>
      <c r="S27" s="157"/>
    </row>
    <row r="28" spans="1:20" ht="18" x14ac:dyDescent="0.25">
      <c r="A28" s="158" t="s">
        <v>459</v>
      </c>
      <c r="B28" s="159">
        <v>44525</v>
      </c>
      <c r="C28" s="158" t="s">
        <v>460</v>
      </c>
      <c r="D28" s="158" t="s">
        <v>461</v>
      </c>
      <c r="E28" s="158" t="s">
        <v>59</v>
      </c>
      <c r="F28" s="158" t="s">
        <v>406</v>
      </c>
      <c r="G28" s="160" t="s">
        <v>384</v>
      </c>
      <c r="H28" s="161">
        <v>0.05</v>
      </c>
      <c r="I28" s="144">
        <v>280000</v>
      </c>
      <c r="J28" s="144">
        <f ca="1">(YEAR(TODAY())-YEAR(B28))*VLOOKUP(F28,'[5]נתונים נוספים'!$A$3:$C$9,3,FALSE)+VLOOKUP(F28,'[5]נתונים נוספים'!$A$3:$C$9,2,FALSE)</f>
        <v>12750</v>
      </c>
      <c r="K28" s="145" t="str">
        <f t="shared" si="0"/>
        <v>רבעון 4</v>
      </c>
      <c r="L28" s="145" t="str">
        <f>VLOOKUP(K28,'[5]נתונים נוספים'!$A$14:$M$17,VLOOKUP(E28,'[5]נתונים נוספים'!$Q$8:$R$19,2,FALSE),FALSE)</f>
        <v>אין הטבה</v>
      </c>
      <c r="M28" s="146">
        <f>IF(K28=$J$48,DATE(YEAR(B28)+$K$48,MONTH(B28),DAY(B28)),IF(OR(YEAR(B28)=$J$49,YEAR(B28)=$J$50),DATE(YEAR(B28)+$K$49,MONTH(B28),DAY(B28)+$L$49),"X"))</f>
        <v>46721</v>
      </c>
      <c r="N28" s="145">
        <f t="shared" si="2"/>
        <v>3</v>
      </c>
      <c r="Q28" s="155"/>
      <c r="R28" s="152" t="s">
        <v>462</v>
      </c>
      <c r="S28" s="157" t="s">
        <v>463</v>
      </c>
    </row>
    <row r="29" spans="1:20" x14ac:dyDescent="0.25">
      <c r="Q29" s="155"/>
      <c r="S29" s="157"/>
    </row>
    <row r="30" spans="1:20" ht="16.2" thickBot="1" x14ac:dyDescent="0.3">
      <c r="I30" s="163"/>
      <c r="L30" s="139"/>
      <c r="N30" s="139"/>
      <c r="Q30" s="164"/>
      <c r="R30" s="165" t="s">
        <v>464</v>
      </c>
      <c r="S30" s="166" t="s">
        <v>465</v>
      </c>
    </row>
    <row r="32" spans="1:20" ht="17.399999999999999" x14ac:dyDescent="0.25">
      <c r="F32" s="259"/>
      <c r="G32" s="259"/>
      <c r="H32" s="259"/>
      <c r="I32" s="259"/>
      <c r="J32" s="259"/>
      <c r="K32" s="259"/>
      <c r="L32" s="259"/>
      <c r="M32" s="259"/>
      <c r="N32" s="167"/>
    </row>
    <row r="33" spans="1:19" x14ac:dyDescent="0.25">
      <c r="E33" s="133"/>
      <c r="F33" s="135"/>
      <c r="G33" s="135"/>
      <c r="H33" s="162"/>
      <c r="I33" s="162"/>
      <c r="J33" s="162"/>
      <c r="K33" s="162"/>
      <c r="L33" s="162"/>
      <c r="M33" s="162"/>
      <c r="N33" s="162"/>
    </row>
    <row r="34" spans="1:19" x14ac:dyDescent="0.25">
      <c r="A34" s="168"/>
      <c r="G34" s="162"/>
      <c r="H34" s="162"/>
      <c r="I34" s="162"/>
      <c r="J34" s="162"/>
      <c r="K34" s="162"/>
      <c r="L34" s="162"/>
      <c r="M34" s="162"/>
      <c r="N34" s="162"/>
      <c r="O34" s="169"/>
      <c r="R34" s="170"/>
      <c r="S34" s="169"/>
    </row>
    <row r="35" spans="1:19" x14ac:dyDescent="0.25">
      <c r="G35" s="162"/>
      <c r="H35" s="162"/>
      <c r="I35" s="162"/>
      <c r="J35" s="162"/>
      <c r="K35" s="162"/>
      <c r="L35" s="162"/>
      <c r="M35" s="162"/>
      <c r="N35" s="162"/>
      <c r="R35" s="156"/>
    </row>
    <row r="36" spans="1:19" x14ac:dyDescent="0.25">
      <c r="A36" s="171"/>
      <c r="B36" s="171"/>
      <c r="C36" s="171"/>
      <c r="D36" s="172"/>
      <c r="E36" s="172"/>
      <c r="F36" s="171"/>
      <c r="G36" s="172"/>
      <c r="H36" s="172"/>
      <c r="I36" s="154"/>
      <c r="L36" s="139"/>
      <c r="M36" s="139"/>
    </row>
    <row r="37" spans="1:19" x14ac:dyDescent="0.25">
      <c r="A37" s="156"/>
      <c r="B37" s="146"/>
      <c r="C37" s="156"/>
      <c r="D37" s="156"/>
      <c r="E37" s="156"/>
      <c r="F37" s="156"/>
      <c r="H37" s="173"/>
      <c r="I37" s="174"/>
      <c r="J37" s="162"/>
      <c r="K37" s="162"/>
      <c r="L37" s="175"/>
      <c r="M37" s="162"/>
      <c r="N37" s="162"/>
    </row>
    <row r="38" spans="1:19" x14ac:dyDescent="0.25">
      <c r="A38" s="156"/>
      <c r="B38" s="146"/>
      <c r="C38" s="156"/>
      <c r="D38" s="156"/>
      <c r="E38" s="156"/>
      <c r="F38" s="156"/>
      <c r="H38" s="173"/>
      <c r="I38" s="174"/>
      <c r="J38" s="162"/>
      <c r="K38" s="162"/>
      <c r="L38" s="175"/>
      <c r="M38" s="162"/>
      <c r="N38" s="162"/>
    </row>
    <row r="39" spans="1:19" x14ac:dyDescent="0.25">
      <c r="A39" s="156"/>
      <c r="B39" s="146"/>
      <c r="C39" s="156"/>
      <c r="D39" s="156"/>
      <c r="E39" s="156"/>
      <c r="F39" s="156"/>
      <c r="H39" s="173"/>
      <c r="I39" s="174"/>
      <c r="J39" s="162"/>
      <c r="K39" s="162"/>
      <c r="L39" s="175"/>
      <c r="M39" s="162"/>
      <c r="N39" s="162"/>
    </row>
    <row r="40" spans="1:19" x14ac:dyDescent="0.25">
      <c r="A40" s="156"/>
      <c r="B40" s="146"/>
      <c r="C40" s="156"/>
      <c r="D40" s="156"/>
      <c r="E40" s="156"/>
      <c r="F40" s="156"/>
      <c r="H40" s="173"/>
      <c r="I40" s="174"/>
      <c r="J40" s="162"/>
      <c r="K40" s="162"/>
      <c r="L40" s="175"/>
      <c r="M40" s="162"/>
      <c r="N40" s="162"/>
    </row>
    <row r="41" spans="1:19" x14ac:dyDescent="0.25">
      <c r="A41" s="156"/>
      <c r="B41" s="146"/>
      <c r="C41" s="156"/>
      <c r="D41" s="156"/>
      <c r="E41" s="156"/>
      <c r="F41" s="171"/>
      <c r="H41" s="173"/>
      <c r="I41" s="174"/>
      <c r="J41" s="162"/>
      <c r="K41" s="162"/>
      <c r="L41" s="175"/>
      <c r="M41" s="162"/>
      <c r="N41" s="162"/>
    </row>
    <row r="42" spans="1:19" x14ac:dyDescent="0.25">
      <c r="A42" s="156"/>
      <c r="B42" s="146"/>
      <c r="C42" s="156"/>
      <c r="D42" s="156"/>
      <c r="E42" s="156"/>
      <c r="F42" s="176"/>
      <c r="I42" s="174"/>
      <c r="J42" s="162"/>
      <c r="K42" s="162"/>
      <c r="L42" s="162"/>
      <c r="M42" s="162"/>
      <c r="N42" s="162"/>
      <c r="Q42" s="156"/>
    </row>
    <row r="43" spans="1:19" x14ac:dyDescent="0.25">
      <c r="A43" s="156"/>
      <c r="B43" s="146"/>
      <c r="C43" s="156"/>
      <c r="D43" s="156"/>
      <c r="E43" s="156"/>
      <c r="F43" s="176"/>
      <c r="H43" s="173"/>
      <c r="I43" s="174"/>
      <c r="J43" s="162"/>
      <c r="K43" s="162"/>
      <c r="L43" s="162"/>
      <c r="M43" s="162"/>
      <c r="N43" s="162"/>
      <c r="Q43" s="156"/>
    </row>
    <row r="44" spans="1:19" x14ac:dyDescent="0.25">
      <c r="F44" s="176"/>
      <c r="G44" s="162"/>
      <c r="H44" s="162"/>
      <c r="I44" s="162"/>
      <c r="J44" s="162"/>
      <c r="K44" s="162"/>
      <c r="L44" s="162"/>
      <c r="M44" s="162"/>
      <c r="N44" s="162"/>
    </row>
    <row r="45" spans="1:19" ht="17.399999999999999" x14ac:dyDescent="0.25">
      <c r="I45" s="177"/>
    </row>
    <row r="48" spans="1:19" x14ac:dyDescent="0.25">
      <c r="J48" s="137" t="s">
        <v>466</v>
      </c>
      <c r="K48" s="137">
        <v>5</v>
      </c>
    </row>
    <row r="49" spans="5:12" x14ac:dyDescent="0.25">
      <c r="E49" s="137"/>
      <c r="F49" s="137"/>
      <c r="J49" s="137">
        <v>2020</v>
      </c>
      <c r="K49" s="137">
        <v>6</v>
      </c>
      <c r="L49" s="137">
        <v>5</v>
      </c>
    </row>
    <row r="50" spans="5:12" x14ac:dyDescent="0.25">
      <c r="E50" s="137"/>
      <c r="F50" s="137"/>
      <c r="J50" s="137">
        <v>2021</v>
      </c>
    </row>
    <row r="51" spans="5:12" x14ac:dyDescent="0.25">
      <c r="E51" s="137"/>
      <c r="F51" s="137"/>
      <c r="J51" s="146">
        <v>44982</v>
      </c>
      <c r="K51" s="137">
        <v>1</v>
      </c>
    </row>
    <row r="52" spans="5:12" x14ac:dyDescent="0.25">
      <c r="J52" s="137">
        <v>7</v>
      </c>
      <c r="K52" s="137" t="s">
        <v>467</v>
      </c>
    </row>
    <row r="53" spans="5:12" x14ac:dyDescent="0.25">
      <c r="J53" s="162"/>
      <c r="K53" s="162"/>
    </row>
    <row r="57" spans="5:12" x14ac:dyDescent="0.25">
      <c r="H57" s="145" t="s">
        <v>468</v>
      </c>
      <c r="I57" s="145" t="s">
        <v>469</v>
      </c>
    </row>
    <row r="58" spans="5:12" x14ac:dyDescent="0.25">
      <c r="H58" s="145">
        <v>3</v>
      </c>
      <c r="I58" s="145" t="s">
        <v>470</v>
      </c>
    </row>
    <row r="59" spans="5:12" x14ac:dyDescent="0.25">
      <c r="H59" s="145">
        <v>6</v>
      </c>
      <c r="I59" s="145" t="s">
        <v>466</v>
      </c>
    </row>
    <row r="60" spans="5:12" x14ac:dyDescent="0.25">
      <c r="H60" s="145">
        <v>9</v>
      </c>
      <c r="I60" s="145" t="s">
        <v>471</v>
      </c>
    </row>
    <row r="61" spans="5:12" x14ac:dyDescent="0.25">
      <c r="H61" s="145"/>
      <c r="I61" s="145" t="s">
        <v>472</v>
      </c>
    </row>
  </sheetData>
  <mergeCells count="1">
    <mergeCell ref="F32:M32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011EE-E50F-4405-9C63-FC29C6D9C0AA}">
  <dimension ref="A1:C23"/>
  <sheetViews>
    <sheetView rightToLeft="1" workbookViewId="0">
      <selection activeCell="I18" sqref="I18"/>
    </sheetView>
  </sheetViews>
  <sheetFormatPr defaultRowHeight="13.8" x14ac:dyDescent="0.25"/>
  <cols>
    <col min="3" max="3" width="13.09765625" bestFit="1" customWidth="1"/>
  </cols>
  <sheetData>
    <row r="1" spans="1:3" x14ac:dyDescent="0.25">
      <c r="A1" s="240"/>
      <c r="B1" s="240"/>
      <c r="C1" s="247"/>
    </row>
    <row r="2" spans="1:3" x14ac:dyDescent="0.25">
      <c r="A2" s="208"/>
      <c r="B2" s="208"/>
      <c r="C2" s="248"/>
    </row>
    <row r="3" spans="1:3" x14ac:dyDescent="0.25">
      <c r="A3" s="208"/>
      <c r="B3" s="208"/>
      <c r="C3" s="248"/>
    </row>
    <row r="4" spans="1:3" x14ac:dyDescent="0.25">
      <c r="A4" s="208"/>
      <c r="B4" s="208"/>
      <c r="C4" s="248"/>
    </row>
    <row r="5" spans="1:3" x14ac:dyDescent="0.25">
      <c r="A5" s="208"/>
      <c r="B5" s="208"/>
      <c r="C5" s="248"/>
    </row>
    <row r="6" spans="1:3" x14ac:dyDescent="0.25">
      <c r="A6" s="208"/>
      <c r="B6" s="208"/>
      <c r="C6" s="248"/>
    </row>
    <row r="7" spans="1:3" x14ac:dyDescent="0.25">
      <c r="A7" s="208"/>
      <c r="B7" s="208"/>
      <c r="C7" s="248"/>
    </row>
    <row r="8" spans="1:3" x14ac:dyDescent="0.25">
      <c r="A8" s="208"/>
      <c r="B8" s="208"/>
      <c r="C8" s="248"/>
    </row>
    <row r="9" spans="1:3" x14ac:dyDescent="0.25">
      <c r="A9" s="208"/>
      <c r="B9" s="208"/>
      <c r="C9" s="248"/>
    </row>
    <row r="10" spans="1:3" x14ac:dyDescent="0.25">
      <c r="A10" s="208"/>
      <c r="B10" s="208"/>
      <c r="C10" s="248"/>
    </row>
    <row r="11" spans="1:3" x14ac:dyDescent="0.25">
      <c r="A11" s="208"/>
      <c r="B11" s="208"/>
      <c r="C11" s="248"/>
    </row>
    <row r="12" spans="1:3" x14ac:dyDescent="0.25">
      <c r="A12" s="208"/>
      <c r="B12" s="208"/>
      <c r="C12" s="248"/>
    </row>
    <row r="13" spans="1:3" x14ac:dyDescent="0.25">
      <c r="A13" s="208"/>
      <c r="B13" s="208"/>
      <c r="C13" s="248"/>
    </row>
    <row r="14" spans="1:3" x14ac:dyDescent="0.25">
      <c r="A14" s="208"/>
      <c r="B14" s="208"/>
      <c r="C14" s="248"/>
    </row>
    <row r="15" spans="1:3" x14ac:dyDescent="0.25">
      <c r="A15" s="208"/>
      <c r="B15" s="208"/>
      <c r="C15" s="248"/>
    </row>
    <row r="16" spans="1:3" x14ac:dyDescent="0.25">
      <c r="A16" s="208"/>
      <c r="B16" s="208"/>
      <c r="C16" s="248"/>
    </row>
    <row r="17" spans="1:3" x14ac:dyDescent="0.25">
      <c r="A17" s="208"/>
      <c r="B17" s="208"/>
      <c r="C17" s="248"/>
    </row>
    <row r="18" spans="1:3" x14ac:dyDescent="0.25">
      <c r="A18" s="208"/>
      <c r="B18" s="208"/>
      <c r="C18" s="248"/>
    </row>
    <row r="19" spans="1:3" x14ac:dyDescent="0.25">
      <c r="A19" s="208"/>
      <c r="B19" s="208"/>
      <c r="C19" s="248"/>
    </row>
    <row r="20" spans="1:3" x14ac:dyDescent="0.25">
      <c r="A20" s="208"/>
      <c r="B20" s="208"/>
      <c r="C20" s="248"/>
    </row>
    <row r="21" spans="1:3" x14ac:dyDescent="0.25">
      <c r="A21" s="208"/>
      <c r="B21" s="208"/>
      <c r="C21" s="248"/>
    </row>
    <row r="22" spans="1:3" x14ac:dyDescent="0.25">
      <c r="A22" s="208"/>
      <c r="B22" s="208"/>
      <c r="C22" s="248"/>
    </row>
    <row r="23" spans="1:3" x14ac:dyDescent="0.25">
      <c r="A23" s="208"/>
      <c r="B23" s="208"/>
      <c r="C23" s="248"/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26D29-DB1A-4A21-96FA-B623E3294EAF}">
  <dimension ref="A1:AA56"/>
  <sheetViews>
    <sheetView rightToLeft="1" zoomScaleNormal="100" workbookViewId="0">
      <selection activeCell="L4" sqref="L4"/>
    </sheetView>
  </sheetViews>
  <sheetFormatPr defaultColWidth="8.796875" defaultRowHeight="13.8" x14ac:dyDescent="0.25"/>
  <cols>
    <col min="1" max="1" width="10.8984375" style="14" bestFit="1" customWidth="1"/>
    <col min="2" max="2" width="9.5" style="14" bestFit="1" customWidth="1"/>
    <col min="3" max="3" width="12.09765625" style="14" bestFit="1" customWidth="1"/>
    <col min="4" max="4" width="22.3984375" style="14" bestFit="1" customWidth="1"/>
    <col min="5" max="5" width="17.296875" style="14" bestFit="1" customWidth="1"/>
    <col min="6" max="8" width="12.09765625" style="14" bestFit="1" customWidth="1"/>
    <col min="9" max="9" width="11.296875" style="14" bestFit="1" customWidth="1"/>
    <col min="10" max="10" width="12.796875" style="43" bestFit="1" customWidth="1"/>
    <col min="11" max="11" width="11.796875" style="3" bestFit="1" customWidth="1"/>
    <col min="12" max="12" width="10.69921875" style="3" bestFit="1" customWidth="1"/>
    <col min="13" max="15" width="10.69921875" style="3" customWidth="1"/>
    <col min="16" max="16" width="10.796875" style="3" bestFit="1" customWidth="1"/>
    <col min="17" max="17" width="10.5" style="3" bestFit="1" customWidth="1"/>
    <col min="18" max="18" width="14.5" style="3" bestFit="1" customWidth="1"/>
    <col min="19" max="19" width="13.19921875" style="3" bestFit="1" customWidth="1"/>
    <col min="20" max="16384" width="8.796875" style="3"/>
  </cols>
  <sheetData>
    <row r="1" spans="1:27" ht="55.2" x14ac:dyDescent="0.25">
      <c r="A1" s="72" t="s">
        <v>166</v>
      </c>
      <c r="B1" s="72" t="s">
        <v>120</v>
      </c>
      <c r="C1" s="72" t="s">
        <v>119</v>
      </c>
      <c r="D1" s="72" t="s">
        <v>167</v>
      </c>
      <c r="E1" s="62" t="s">
        <v>168</v>
      </c>
      <c r="F1" s="72" t="s">
        <v>169</v>
      </c>
      <c r="G1" s="72" t="s">
        <v>170</v>
      </c>
      <c r="H1" s="72" t="s">
        <v>171</v>
      </c>
      <c r="I1" s="72" t="s">
        <v>172</v>
      </c>
      <c r="J1" s="68" t="s">
        <v>173</v>
      </c>
      <c r="K1" s="69" t="s">
        <v>174</v>
      </c>
      <c r="L1" s="69" t="s">
        <v>175</v>
      </c>
      <c r="M1" s="69" t="s">
        <v>304</v>
      </c>
      <c r="N1" s="69" t="s">
        <v>302</v>
      </c>
      <c r="O1" s="69" t="s">
        <v>303</v>
      </c>
      <c r="P1" s="69" t="s">
        <v>176</v>
      </c>
      <c r="Q1" s="69" t="s">
        <v>177</v>
      </c>
      <c r="R1" s="249" t="s">
        <v>178</v>
      </c>
      <c r="S1" s="227"/>
      <c r="T1" s="227"/>
      <c r="U1" s="227"/>
      <c r="V1" s="227"/>
      <c r="W1" s="227"/>
      <c r="X1" s="227"/>
      <c r="Y1" s="227"/>
      <c r="Z1" s="227"/>
      <c r="AA1" s="227"/>
    </row>
    <row r="2" spans="1:27" x14ac:dyDescent="0.25">
      <c r="A2" s="14">
        <v>6056565</v>
      </c>
      <c r="B2" s="14" t="s">
        <v>179</v>
      </c>
      <c r="C2" s="14" t="s">
        <v>136</v>
      </c>
      <c r="D2" s="14" t="s">
        <v>180</v>
      </c>
      <c r="E2" s="42">
        <v>43604</v>
      </c>
      <c r="F2" s="14">
        <v>23</v>
      </c>
      <c r="G2" s="14" t="s">
        <v>181</v>
      </c>
      <c r="H2" s="14" t="s">
        <v>182</v>
      </c>
      <c r="I2" s="14">
        <v>60</v>
      </c>
      <c r="J2" s="43">
        <v>15750</v>
      </c>
      <c r="K2" s="44" cm="1">
        <f t="array" ref="K2">_xlfn.XLOOKUP(I2,$T$4:$T$8,_xlfn.XLOOKUP(H2,$U$3:$W$3,$U$4:$W$8,,0),,-1)*J2</f>
        <v>2835</v>
      </c>
      <c r="L2" s="11">
        <f t="shared" ref="L2:L36" si="0">IF(YEAR(E2)&lt;$T$19,DATE($T$20,MONTH(E2)-$T$22,$T$21),DATE(YEAR(E2)+$T$23,MONTH(E2)+$T$24,$T$25))</f>
        <v>45757</v>
      </c>
      <c r="M2" s="11">
        <f>IF(YEAR(E2)&lt;$X$19,N2,O2)</f>
        <v>45757</v>
      </c>
      <c r="N2" s="11">
        <f>DATE($X$20,MONTH(E2)-$X$22,$X$21)</f>
        <v>45757</v>
      </c>
      <c r="O2" s="11">
        <f>DATE(YEAR(E2)+$X$23,MONTH(E2)+$X$24,$X$25)</f>
        <v>45808</v>
      </c>
      <c r="P2" s="45">
        <f t="shared" ref="P2:P36" si="1">(J2-_xlfn.XLOOKUP(J2,$T$12:$T$16,$T$12:$T$16,,-1))*_xlfn.XLOOKUP(J2,$T$12:$T$16,$U$12:$U$16,,-1)+_xlfn.XLOOKUP(J2,$T$12:$T$16,$V$12:$V$16,,-1)</f>
        <v>480</v>
      </c>
      <c r="Q2" s="46">
        <f t="shared" ref="Q2:Q36" si="2">J2/$U$35</f>
        <v>4200</v>
      </c>
      <c r="R2" s="45">
        <f t="shared" ref="R2:R36" si="3">J2*$AA$18</f>
        <v>189000</v>
      </c>
      <c r="S2" s="227"/>
      <c r="T2" s="229" t="s">
        <v>183</v>
      </c>
      <c r="U2" s="227"/>
      <c r="V2" s="227"/>
      <c r="W2" s="227"/>
      <c r="X2" s="227"/>
      <c r="Y2" s="227"/>
      <c r="Z2" s="227" t="s">
        <v>301</v>
      </c>
      <c r="AA2" s="227"/>
    </row>
    <row r="3" spans="1:27" x14ac:dyDescent="0.25">
      <c r="A3" s="14">
        <v>4430571</v>
      </c>
      <c r="B3" s="14" t="s">
        <v>184</v>
      </c>
      <c r="C3" s="14" t="s">
        <v>185</v>
      </c>
      <c r="D3" s="14" t="s">
        <v>186</v>
      </c>
      <c r="E3" s="42">
        <v>43504</v>
      </c>
      <c r="F3" s="14">
        <v>34</v>
      </c>
      <c r="G3" s="14" t="s">
        <v>181</v>
      </c>
      <c r="H3" s="14" t="s">
        <v>187</v>
      </c>
      <c r="I3" s="14">
        <v>95</v>
      </c>
      <c r="J3" s="43">
        <v>12750</v>
      </c>
      <c r="K3" s="44" cm="1">
        <f t="array" ref="K3">_xlfn.XLOOKUP(I3,$T$4:$T$8,_xlfn.XLOOKUP(H3,$U$3:$W$3,$U$4:$W$8,,0),,-1)*J3</f>
        <v>2805</v>
      </c>
      <c r="L3" s="11">
        <f t="shared" si="0"/>
        <v>45667</v>
      </c>
      <c r="M3" s="11">
        <f t="shared" ref="M3:M52" si="4">IF(YEAR(E3)&lt;$X$19,N3,O3)</f>
        <v>45667</v>
      </c>
      <c r="N3" s="11">
        <f t="shared" ref="N3:N42" si="5">DATE($X$20,MONTH(E3)-$X$22,$X$21)</f>
        <v>45667</v>
      </c>
      <c r="O3" s="11">
        <f t="shared" ref="O3:O42" si="6">DATE(YEAR(E3)+$X$23,MONTH(E3)+$X$24,$X$25)</f>
        <v>45716</v>
      </c>
      <c r="P3" s="45">
        <f t="shared" si="1"/>
        <v>360</v>
      </c>
      <c r="Q3" s="46">
        <f t="shared" si="2"/>
        <v>3400</v>
      </c>
      <c r="R3" s="45">
        <f t="shared" si="3"/>
        <v>153000</v>
      </c>
      <c r="S3" s="227"/>
      <c r="T3" s="227" t="s">
        <v>188</v>
      </c>
      <c r="U3" s="230" t="s">
        <v>182</v>
      </c>
      <c r="V3" s="230" t="s">
        <v>187</v>
      </c>
      <c r="W3" s="230" t="s">
        <v>189</v>
      </c>
      <c r="X3" s="227"/>
      <c r="Y3" s="227"/>
      <c r="Z3" s="227"/>
      <c r="AA3" s="227"/>
    </row>
    <row r="4" spans="1:27" ht="14.4" x14ac:dyDescent="0.3">
      <c r="A4" s="14">
        <v>3427449</v>
      </c>
      <c r="B4" s="14" t="s">
        <v>190</v>
      </c>
      <c r="C4" s="14" t="s">
        <v>191</v>
      </c>
      <c r="D4" s="14" t="s">
        <v>192</v>
      </c>
      <c r="E4" s="42">
        <v>43166</v>
      </c>
      <c r="F4" s="14">
        <v>47</v>
      </c>
      <c r="G4" s="14" t="s">
        <v>193</v>
      </c>
      <c r="H4" s="14" t="s">
        <v>189</v>
      </c>
      <c r="I4" s="14">
        <v>31</v>
      </c>
      <c r="J4" s="43">
        <v>114000</v>
      </c>
      <c r="K4" s="44" cm="1">
        <f t="array" ref="K4">_xlfn.XLOOKUP(I4,$T$4:$T$8,_xlfn.XLOOKUP(H4,$U$3:$W$3,$U$4:$W$8,,0),,-1)*J4</f>
        <v>22800</v>
      </c>
      <c r="L4" s="11">
        <f t="shared" si="0"/>
        <v>45698</v>
      </c>
      <c r="M4" s="11">
        <f t="shared" si="4"/>
        <v>45698</v>
      </c>
      <c r="N4" s="11">
        <f t="shared" si="5"/>
        <v>45698</v>
      </c>
      <c r="O4" s="11">
        <f t="shared" si="6"/>
        <v>45382</v>
      </c>
      <c r="P4" s="45">
        <f t="shared" si="1"/>
        <v>7250</v>
      </c>
      <c r="Q4" s="46">
        <f t="shared" si="2"/>
        <v>30400</v>
      </c>
      <c r="R4" s="45">
        <f t="shared" si="3"/>
        <v>1368000</v>
      </c>
      <c r="S4" s="227"/>
      <c r="T4" s="231">
        <v>0</v>
      </c>
      <c r="U4" s="232">
        <v>0.12</v>
      </c>
      <c r="V4" s="232">
        <v>0.14000000000000001</v>
      </c>
      <c r="W4" s="232">
        <v>0.16</v>
      </c>
      <c r="X4" s="227"/>
      <c r="Y4" s="227"/>
      <c r="Z4" s="227"/>
      <c r="AA4" s="227"/>
    </row>
    <row r="5" spans="1:27" ht="14.4" x14ac:dyDescent="0.3">
      <c r="A5" s="14">
        <v>5830124</v>
      </c>
      <c r="B5" s="14" t="s">
        <v>194</v>
      </c>
      <c r="C5" s="14" t="s">
        <v>195</v>
      </c>
      <c r="D5" s="14" t="s">
        <v>196</v>
      </c>
      <c r="E5" s="42">
        <v>44132</v>
      </c>
      <c r="F5" s="14">
        <v>26</v>
      </c>
      <c r="G5" s="14" t="s">
        <v>197</v>
      </c>
      <c r="H5" s="14" t="s">
        <v>189</v>
      </c>
      <c r="I5" s="14">
        <v>26</v>
      </c>
      <c r="J5" s="43">
        <v>77500</v>
      </c>
      <c r="K5" s="44" cm="1">
        <f t="array" ref="K5">_xlfn.XLOOKUP(I5,$T$4:$T$8,_xlfn.XLOOKUP(H5,$U$3:$W$3,$U$4:$W$8,,0),,-1)*J5</f>
        <v>15500</v>
      </c>
      <c r="L5" s="11">
        <f t="shared" si="0"/>
        <v>46326</v>
      </c>
      <c r="M5" s="11">
        <f t="shared" si="4"/>
        <v>46326</v>
      </c>
      <c r="N5" s="11">
        <f t="shared" si="5"/>
        <v>45910</v>
      </c>
      <c r="O5" s="11">
        <f t="shared" si="6"/>
        <v>46326</v>
      </c>
      <c r="P5" s="45">
        <f t="shared" si="1"/>
        <v>4162.5</v>
      </c>
      <c r="Q5" s="46">
        <f t="shared" si="2"/>
        <v>20666.666666666668</v>
      </c>
      <c r="R5" s="45">
        <f t="shared" si="3"/>
        <v>930000</v>
      </c>
      <c r="S5" s="227"/>
      <c r="T5" s="231">
        <v>15</v>
      </c>
      <c r="U5" s="232">
        <v>0.15</v>
      </c>
      <c r="V5" s="232">
        <v>0.18</v>
      </c>
      <c r="W5" s="232">
        <v>0.2</v>
      </c>
      <c r="X5" s="227"/>
      <c r="Y5" s="227"/>
      <c r="Z5" s="227"/>
      <c r="AA5" s="227"/>
    </row>
    <row r="6" spans="1:27" ht="14.4" x14ac:dyDescent="0.3">
      <c r="A6" s="14">
        <v>3192167</v>
      </c>
      <c r="B6" s="14" t="s">
        <v>198</v>
      </c>
      <c r="C6" s="14" t="s">
        <v>199</v>
      </c>
      <c r="D6" s="14" t="s">
        <v>200</v>
      </c>
      <c r="E6" s="42">
        <v>44493</v>
      </c>
      <c r="F6" s="14">
        <v>57</v>
      </c>
      <c r="G6" s="14" t="s">
        <v>197</v>
      </c>
      <c r="H6" s="14" t="s">
        <v>189</v>
      </c>
      <c r="I6" s="14">
        <v>99</v>
      </c>
      <c r="J6" s="43">
        <v>63000</v>
      </c>
      <c r="K6" s="44" cm="1">
        <f t="array" ref="K6">_xlfn.XLOOKUP(I6,$T$4:$T$8,_xlfn.XLOOKUP(H6,$U$3:$W$3,$U$4:$W$8,,0),,-1)*J6</f>
        <v>17640</v>
      </c>
      <c r="L6" s="11">
        <f t="shared" si="0"/>
        <v>46691</v>
      </c>
      <c r="M6" s="11">
        <f t="shared" si="4"/>
        <v>46691</v>
      </c>
      <c r="N6" s="11">
        <f t="shared" si="5"/>
        <v>45910</v>
      </c>
      <c r="O6" s="11">
        <f t="shared" si="6"/>
        <v>46691</v>
      </c>
      <c r="P6" s="45">
        <f t="shared" si="1"/>
        <v>3075</v>
      </c>
      <c r="Q6" s="46">
        <f t="shared" si="2"/>
        <v>16800</v>
      </c>
      <c r="R6" s="45">
        <f t="shared" si="3"/>
        <v>756000</v>
      </c>
      <c r="S6" s="227"/>
      <c r="T6" s="231">
        <v>40</v>
      </c>
      <c r="U6" s="232">
        <v>0.18</v>
      </c>
      <c r="V6" s="232">
        <v>0.2</v>
      </c>
      <c r="W6" s="232">
        <v>0.25</v>
      </c>
      <c r="X6" s="227"/>
      <c r="Y6" s="227"/>
      <c r="Z6" s="227"/>
      <c r="AA6" s="227"/>
    </row>
    <row r="7" spans="1:27" ht="14.4" x14ac:dyDescent="0.3">
      <c r="A7" s="14">
        <v>5145835</v>
      </c>
      <c r="B7" s="14" t="s">
        <v>201</v>
      </c>
      <c r="C7" s="14" t="s">
        <v>138</v>
      </c>
      <c r="D7" s="14" t="s">
        <v>202</v>
      </c>
      <c r="E7" s="42">
        <v>43978</v>
      </c>
      <c r="F7" s="14">
        <v>48</v>
      </c>
      <c r="G7" s="14" t="s">
        <v>181</v>
      </c>
      <c r="H7" s="14" t="s">
        <v>182</v>
      </c>
      <c r="I7" s="14">
        <v>75</v>
      </c>
      <c r="J7" s="43">
        <v>30125</v>
      </c>
      <c r="K7" s="44" cm="1">
        <f t="array" ref="K7">_xlfn.XLOOKUP(I7,$T$4:$T$8,_xlfn.XLOOKUP(H7,$U$3:$W$3,$U$4:$W$8,,0),,-1)*J7</f>
        <v>6025</v>
      </c>
      <c r="L7" s="11">
        <f t="shared" si="0"/>
        <v>46173</v>
      </c>
      <c r="M7" s="11">
        <f t="shared" si="4"/>
        <v>46173</v>
      </c>
      <c r="N7" s="11">
        <f t="shared" si="5"/>
        <v>45757</v>
      </c>
      <c r="O7" s="11">
        <f t="shared" si="6"/>
        <v>46173</v>
      </c>
      <c r="P7" s="45">
        <f t="shared" si="1"/>
        <v>1106.25</v>
      </c>
      <c r="Q7" s="46">
        <f t="shared" si="2"/>
        <v>8033.333333333333</v>
      </c>
      <c r="R7" s="45">
        <f t="shared" si="3"/>
        <v>361500</v>
      </c>
      <c r="S7" s="227"/>
      <c r="T7" s="231">
        <v>70</v>
      </c>
      <c r="U7" s="232">
        <v>0.2</v>
      </c>
      <c r="V7" s="232">
        <v>0.22</v>
      </c>
      <c r="W7" s="232">
        <v>0.28000000000000003</v>
      </c>
      <c r="X7" s="227"/>
      <c r="Y7" s="227"/>
      <c r="Z7" s="227"/>
      <c r="AA7" s="227"/>
    </row>
    <row r="8" spans="1:27" ht="14.4" x14ac:dyDescent="0.3">
      <c r="A8" s="14">
        <v>5915445</v>
      </c>
      <c r="B8" s="14" t="s">
        <v>203</v>
      </c>
      <c r="C8" s="14" t="s">
        <v>204</v>
      </c>
      <c r="D8" s="49" t="s">
        <v>205</v>
      </c>
      <c r="E8" s="50">
        <v>44071</v>
      </c>
      <c r="F8" s="14">
        <v>18</v>
      </c>
      <c r="G8" s="14" t="s">
        <v>193</v>
      </c>
      <c r="H8" s="14" t="s">
        <v>182</v>
      </c>
      <c r="I8" s="14">
        <v>81</v>
      </c>
      <c r="J8" s="43">
        <v>23375</v>
      </c>
      <c r="K8" s="44" cm="1">
        <f t="array" ref="K8">_xlfn.XLOOKUP(I8,$T$4:$T$8,_xlfn.XLOOKUP(H8,$U$3:$W$3,$U$4:$W$8,,0),,-1)*J8</f>
        <v>4675</v>
      </c>
      <c r="L8" s="11">
        <f t="shared" si="0"/>
        <v>46265</v>
      </c>
      <c r="M8" s="11">
        <f t="shared" si="4"/>
        <v>46265</v>
      </c>
      <c r="N8" s="11">
        <f t="shared" si="5"/>
        <v>45848</v>
      </c>
      <c r="O8" s="11">
        <f t="shared" si="6"/>
        <v>46265</v>
      </c>
      <c r="P8" s="45">
        <f t="shared" si="1"/>
        <v>785</v>
      </c>
      <c r="Q8" s="46">
        <f t="shared" si="2"/>
        <v>6233.333333333333</v>
      </c>
      <c r="R8" s="45">
        <f t="shared" si="3"/>
        <v>280500</v>
      </c>
      <c r="S8" s="227"/>
      <c r="T8" s="231">
        <v>110</v>
      </c>
      <c r="U8" s="232">
        <v>0.25</v>
      </c>
      <c r="V8" s="232">
        <v>0.3</v>
      </c>
      <c r="W8" s="232">
        <v>0.32</v>
      </c>
      <c r="X8" s="227"/>
      <c r="Y8" s="227"/>
      <c r="Z8" s="227"/>
      <c r="AA8" s="227"/>
    </row>
    <row r="9" spans="1:27" x14ac:dyDescent="0.25">
      <c r="A9" s="14">
        <v>5464769</v>
      </c>
      <c r="B9" s="14" t="s">
        <v>206</v>
      </c>
      <c r="C9" s="14" t="s">
        <v>207</v>
      </c>
      <c r="D9" s="14" t="s">
        <v>208</v>
      </c>
      <c r="E9" s="42">
        <v>43497</v>
      </c>
      <c r="F9" s="14">
        <v>37</v>
      </c>
      <c r="G9" s="14" t="s">
        <v>181</v>
      </c>
      <c r="H9" s="14" t="s">
        <v>182</v>
      </c>
      <c r="I9" s="14">
        <v>66</v>
      </c>
      <c r="J9" s="43">
        <v>35625</v>
      </c>
      <c r="K9" s="44" cm="1">
        <f t="array" ref="K9">_xlfn.XLOOKUP(I9,$T$4:$T$8,_xlfn.XLOOKUP(H9,$U$3:$W$3,$U$4:$W$8,,0),,-1)*J9</f>
        <v>6412.5</v>
      </c>
      <c r="L9" s="11">
        <f t="shared" si="0"/>
        <v>45667</v>
      </c>
      <c r="M9" s="11">
        <f t="shared" si="4"/>
        <v>45667</v>
      </c>
      <c r="N9" s="11">
        <f t="shared" si="5"/>
        <v>45667</v>
      </c>
      <c r="O9" s="11">
        <f t="shared" si="6"/>
        <v>45716</v>
      </c>
      <c r="P9" s="45">
        <f t="shared" si="1"/>
        <v>1381.25</v>
      </c>
      <c r="Q9" s="46">
        <f t="shared" si="2"/>
        <v>9500</v>
      </c>
      <c r="R9" s="45">
        <f t="shared" si="3"/>
        <v>427500</v>
      </c>
      <c r="S9" s="227"/>
      <c r="T9" s="227"/>
      <c r="U9" s="227"/>
      <c r="V9" s="227"/>
      <c r="W9" s="227"/>
      <c r="X9" s="227"/>
      <c r="Y9" s="227"/>
      <c r="Z9" s="227"/>
      <c r="AA9" s="227"/>
    </row>
    <row r="10" spans="1:27" x14ac:dyDescent="0.25">
      <c r="A10" s="14">
        <v>3992335</v>
      </c>
      <c r="B10" s="14" t="s">
        <v>209</v>
      </c>
      <c r="C10" s="14" t="s">
        <v>210</v>
      </c>
      <c r="D10" s="14" t="s">
        <v>211</v>
      </c>
      <c r="E10" s="42">
        <v>44845</v>
      </c>
      <c r="F10" s="14">
        <v>62</v>
      </c>
      <c r="G10" s="14" t="s">
        <v>193</v>
      </c>
      <c r="H10" s="14" t="s">
        <v>189</v>
      </c>
      <c r="I10" s="14">
        <v>63</v>
      </c>
      <c r="J10" s="43">
        <v>9500</v>
      </c>
      <c r="K10" s="44" cm="1">
        <f t="array" ref="K10">_xlfn.XLOOKUP(I10,$T$4:$T$8,_xlfn.XLOOKUP(H10,$U$3:$W$3,$U$4:$W$8,,0),,-1)*J10</f>
        <v>2375</v>
      </c>
      <c r="L10" s="11">
        <f t="shared" si="0"/>
        <v>47057</v>
      </c>
      <c r="M10" s="11">
        <f t="shared" si="4"/>
        <v>47057</v>
      </c>
      <c r="N10" s="11">
        <f t="shared" si="5"/>
        <v>45910</v>
      </c>
      <c r="O10" s="11">
        <f t="shared" si="6"/>
        <v>47057</v>
      </c>
      <c r="P10" s="45">
        <f t="shared" si="1"/>
        <v>237.5</v>
      </c>
      <c r="Q10" s="46">
        <f t="shared" si="2"/>
        <v>2533.3333333333335</v>
      </c>
      <c r="R10" s="45">
        <f t="shared" si="3"/>
        <v>114000</v>
      </c>
      <c r="S10" s="227"/>
      <c r="T10" s="195" t="s">
        <v>212</v>
      </c>
      <c r="U10" s="227"/>
      <c r="V10" s="227"/>
      <c r="W10" s="227"/>
      <c r="X10" s="227"/>
      <c r="Y10" s="227"/>
      <c r="Z10" s="227"/>
      <c r="AA10" s="227"/>
    </row>
    <row r="11" spans="1:27" x14ac:dyDescent="0.25">
      <c r="A11" s="14">
        <v>4633026</v>
      </c>
      <c r="B11" s="14" t="s">
        <v>213</v>
      </c>
      <c r="C11" s="14" t="s">
        <v>214</v>
      </c>
      <c r="D11" s="14" t="s">
        <v>215</v>
      </c>
      <c r="E11" s="42">
        <v>45030</v>
      </c>
      <c r="F11" s="14">
        <v>30</v>
      </c>
      <c r="G11" s="14" t="s">
        <v>181</v>
      </c>
      <c r="H11" s="14" t="s">
        <v>189</v>
      </c>
      <c r="I11" s="14">
        <v>86</v>
      </c>
      <c r="J11" s="43">
        <v>8250</v>
      </c>
      <c r="K11" s="44" cm="1">
        <f t="array" ref="K11">_xlfn.XLOOKUP(I11,$T$4:$T$8,_xlfn.XLOOKUP(H11,$U$3:$W$3,$U$4:$W$8,,0),,-1)*J11</f>
        <v>2310</v>
      </c>
      <c r="L11" s="11">
        <f t="shared" si="0"/>
        <v>47238</v>
      </c>
      <c r="M11" s="11">
        <f t="shared" si="4"/>
        <v>47238</v>
      </c>
      <c r="N11" s="11">
        <f t="shared" si="5"/>
        <v>45726</v>
      </c>
      <c r="O11" s="11">
        <f t="shared" si="6"/>
        <v>47238</v>
      </c>
      <c r="P11" s="45">
        <f t="shared" si="1"/>
        <v>206.25</v>
      </c>
      <c r="Q11" s="46">
        <f t="shared" si="2"/>
        <v>2200</v>
      </c>
      <c r="R11" s="45">
        <f t="shared" si="3"/>
        <v>99000</v>
      </c>
      <c r="S11" s="227"/>
      <c r="T11" s="227" t="s">
        <v>216</v>
      </c>
      <c r="U11" s="227" t="s">
        <v>217</v>
      </c>
      <c r="V11" s="227" t="s">
        <v>218</v>
      </c>
      <c r="W11" s="227"/>
      <c r="X11" s="227"/>
      <c r="Y11" s="227"/>
      <c r="Z11" s="227"/>
      <c r="AA11" s="227"/>
    </row>
    <row r="12" spans="1:27" x14ac:dyDescent="0.25">
      <c r="A12" s="14">
        <v>6790786</v>
      </c>
      <c r="B12" s="14" t="s">
        <v>219</v>
      </c>
      <c r="C12" s="14" t="s">
        <v>220</v>
      </c>
      <c r="D12" s="14" t="s">
        <v>221</v>
      </c>
      <c r="E12" s="42">
        <v>42875</v>
      </c>
      <c r="F12" s="14">
        <v>49</v>
      </c>
      <c r="G12" s="14" t="s">
        <v>181</v>
      </c>
      <c r="H12" s="14" t="s">
        <v>187</v>
      </c>
      <c r="I12" s="14">
        <v>121</v>
      </c>
      <c r="J12" s="43">
        <v>12500</v>
      </c>
      <c r="K12" s="44" cm="1">
        <f t="array" ref="K12">_xlfn.XLOOKUP(I12,$T$4:$T$8,_xlfn.XLOOKUP(H12,$U$3:$W$3,$U$4:$W$8,,0),,-1)*J12</f>
        <v>3750</v>
      </c>
      <c r="L12" s="11">
        <f t="shared" si="0"/>
        <v>45757</v>
      </c>
      <c r="M12" s="11">
        <f t="shared" si="4"/>
        <v>45757</v>
      </c>
      <c r="N12" s="11">
        <f t="shared" si="5"/>
        <v>45757</v>
      </c>
      <c r="O12" s="11">
        <f t="shared" si="6"/>
        <v>45077</v>
      </c>
      <c r="P12" s="45">
        <f t="shared" si="1"/>
        <v>350</v>
      </c>
      <c r="Q12" s="46">
        <f t="shared" si="2"/>
        <v>3333.3333333333335</v>
      </c>
      <c r="R12" s="45">
        <f t="shared" si="3"/>
        <v>150000</v>
      </c>
      <c r="S12" s="227"/>
      <c r="T12" s="227">
        <v>0</v>
      </c>
      <c r="U12" s="233">
        <v>2.5000000000000001E-2</v>
      </c>
      <c r="V12" s="227">
        <v>0</v>
      </c>
      <c r="W12" s="227"/>
      <c r="X12" s="227"/>
      <c r="Y12" s="227"/>
      <c r="Z12" s="227"/>
      <c r="AA12" s="227"/>
    </row>
    <row r="13" spans="1:27" x14ac:dyDescent="0.25">
      <c r="A13" s="14">
        <v>5828005</v>
      </c>
      <c r="B13" s="14" t="s">
        <v>222</v>
      </c>
      <c r="C13" s="14" t="s">
        <v>223</v>
      </c>
      <c r="D13" s="14" t="s">
        <v>224</v>
      </c>
      <c r="E13" s="42">
        <v>44265</v>
      </c>
      <c r="F13" s="14">
        <v>32</v>
      </c>
      <c r="G13" s="14" t="s">
        <v>197</v>
      </c>
      <c r="H13" s="14" t="s">
        <v>187</v>
      </c>
      <c r="I13" s="14">
        <v>8</v>
      </c>
      <c r="J13" s="43">
        <v>26500</v>
      </c>
      <c r="K13" s="44" cm="1">
        <f t="array" ref="K13">_xlfn.XLOOKUP(I13,$T$4:$T$8,_xlfn.XLOOKUP(H13,$U$3:$W$3,$U$4:$W$8,,0),,-1)*J13</f>
        <v>3710.0000000000005</v>
      </c>
      <c r="L13" s="11">
        <f t="shared" si="0"/>
        <v>46477</v>
      </c>
      <c r="M13" s="11">
        <f t="shared" si="4"/>
        <v>46477</v>
      </c>
      <c r="N13" s="11">
        <f t="shared" si="5"/>
        <v>45698</v>
      </c>
      <c r="O13" s="11">
        <f t="shared" si="6"/>
        <v>46477</v>
      </c>
      <c r="P13" s="45">
        <f t="shared" si="1"/>
        <v>925</v>
      </c>
      <c r="Q13" s="46">
        <f t="shared" si="2"/>
        <v>7066.666666666667</v>
      </c>
      <c r="R13" s="45">
        <f t="shared" si="3"/>
        <v>318000</v>
      </c>
      <c r="S13" s="227"/>
      <c r="T13" s="227">
        <v>10000</v>
      </c>
      <c r="U13" s="234">
        <v>0.04</v>
      </c>
      <c r="V13" s="227">
        <f>(T13-T12)*U12+V12</f>
        <v>250</v>
      </c>
      <c r="W13" s="227"/>
      <c r="X13" s="227"/>
      <c r="Y13" s="227"/>
      <c r="Z13" s="227"/>
      <c r="AA13" s="227"/>
    </row>
    <row r="14" spans="1:27" x14ac:dyDescent="0.25">
      <c r="A14" s="14">
        <v>6934852</v>
      </c>
      <c r="B14" s="14" t="s">
        <v>225</v>
      </c>
      <c r="C14" s="14" t="s">
        <v>226</v>
      </c>
      <c r="D14" s="14" t="s">
        <v>227</v>
      </c>
      <c r="E14" s="42">
        <v>45594</v>
      </c>
      <c r="F14" s="14">
        <v>31</v>
      </c>
      <c r="G14" s="14" t="s">
        <v>193</v>
      </c>
      <c r="H14" s="14" t="s">
        <v>182</v>
      </c>
      <c r="I14" s="14">
        <v>83</v>
      </c>
      <c r="J14" s="43">
        <v>8625</v>
      </c>
      <c r="K14" s="44" cm="1">
        <f t="array" ref="K14">_xlfn.XLOOKUP(I14,$T$4:$T$8,_xlfn.XLOOKUP(H14,$U$3:$W$3,$U$4:$W$8,,0),,-1)*J14</f>
        <v>1725</v>
      </c>
      <c r="L14" s="11">
        <f t="shared" si="0"/>
        <v>47787</v>
      </c>
      <c r="M14" s="11">
        <f t="shared" si="4"/>
        <v>47787</v>
      </c>
      <c r="N14" s="11">
        <f t="shared" si="5"/>
        <v>45910</v>
      </c>
      <c r="O14" s="11">
        <f t="shared" si="6"/>
        <v>47787</v>
      </c>
      <c r="P14" s="45">
        <f t="shared" si="1"/>
        <v>215.625</v>
      </c>
      <c r="Q14" s="46">
        <f t="shared" si="2"/>
        <v>2300</v>
      </c>
      <c r="R14" s="45">
        <f t="shared" si="3"/>
        <v>103500</v>
      </c>
      <c r="S14" s="227"/>
      <c r="T14" s="227">
        <v>25000</v>
      </c>
      <c r="U14" s="234">
        <v>0.05</v>
      </c>
      <c r="V14" s="227">
        <f t="shared" ref="V14:V16" si="7">(T14-T13)*U13+V13</f>
        <v>850</v>
      </c>
      <c r="W14" s="227"/>
      <c r="X14" s="227"/>
      <c r="Y14" s="227"/>
      <c r="Z14" s="227"/>
      <c r="AA14" s="227"/>
    </row>
    <row r="15" spans="1:27" x14ac:dyDescent="0.25">
      <c r="A15" s="14">
        <v>4708795</v>
      </c>
      <c r="B15" s="14" t="s">
        <v>228</v>
      </c>
      <c r="C15" s="14" t="s">
        <v>229</v>
      </c>
      <c r="D15" s="14" t="s">
        <v>230</v>
      </c>
      <c r="E15" s="42">
        <v>40295</v>
      </c>
      <c r="F15" s="14">
        <v>26</v>
      </c>
      <c r="G15" s="14" t="s">
        <v>181</v>
      </c>
      <c r="H15" s="14" t="s">
        <v>189</v>
      </c>
      <c r="I15" s="14">
        <v>21</v>
      </c>
      <c r="J15" s="43">
        <v>42500</v>
      </c>
      <c r="K15" s="44" cm="1">
        <f t="array" ref="K15">_xlfn.XLOOKUP(I15,$T$4:$T$8,_xlfn.XLOOKUP(H15,$U$3:$W$3,$U$4:$W$8,,0),,-1)*J15</f>
        <v>8500</v>
      </c>
      <c r="L15" s="11">
        <f t="shared" si="0"/>
        <v>45726</v>
      </c>
      <c r="M15" s="11">
        <f t="shared" si="4"/>
        <v>45726</v>
      </c>
      <c r="N15" s="11">
        <f t="shared" si="5"/>
        <v>45726</v>
      </c>
      <c r="O15" s="11">
        <f t="shared" si="6"/>
        <v>42490</v>
      </c>
      <c r="P15" s="45">
        <f t="shared" si="1"/>
        <v>1725</v>
      </c>
      <c r="Q15" s="46">
        <f t="shared" si="2"/>
        <v>11333.333333333334</v>
      </c>
      <c r="R15" s="45">
        <f t="shared" si="3"/>
        <v>510000</v>
      </c>
      <c r="S15" s="227"/>
      <c r="T15" s="227">
        <v>50000</v>
      </c>
      <c r="U15" s="233">
        <v>7.4999999999999997E-2</v>
      </c>
      <c r="V15" s="227">
        <f t="shared" si="7"/>
        <v>2100</v>
      </c>
      <c r="W15" s="227"/>
      <c r="X15" s="227"/>
      <c r="Y15" s="227"/>
      <c r="Z15" s="227"/>
      <c r="AA15" s="227"/>
    </row>
    <row r="16" spans="1:27" x14ac:dyDescent="0.25">
      <c r="A16" s="14">
        <v>4853519</v>
      </c>
      <c r="B16" s="14" t="s">
        <v>231</v>
      </c>
      <c r="C16" s="14" t="s">
        <v>232</v>
      </c>
      <c r="D16" s="14" t="s">
        <v>233</v>
      </c>
      <c r="E16" s="42">
        <v>43440</v>
      </c>
      <c r="F16" s="14">
        <v>65</v>
      </c>
      <c r="G16" s="14" t="s">
        <v>181</v>
      </c>
      <c r="H16" s="14" t="s">
        <v>189</v>
      </c>
      <c r="I16" s="14">
        <v>106</v>
      </c>
      <c r="J16" s="43">
        <v>30250</v>
      </c>
      <c r="K16" s="44" cm="1">
        <f t="array" ref="K16">_xlfn.XLOOKUP(I16,$T$4:$T$8,_xlfn.XLOOKUP(H16,$U$3:$W$3,$U$4:$W$8,,0),,-1)*J16</f>
        <v>8470</v>
      </c>
      <c r="L16" s="11">
        <f t="shared" si="0"/>
        <v>45971</v>
      </c>
      <c r="M16" s="11">
        <f t="shared" si="4"/>
        <v>45971</v>
      </c>
      <c r="N16" s="11">
        <f t="shared" si="5"/>
        <v>45971</v>
      </c>
      <c r="O16" s="11">
        <f t="shared" si="6"/>
        <v>45657</v>
      </c>
      <c r="P16" s="45">
        <f t="shared" si="1"/>
        <v>1112.5</v>
      </c>
      <c r="Q16" s="46">
        <f t="shared" si="2"/>
        <v>8066.666666666667</v>
      </c>
      <c r="R16" s="45">
        <f t="shared" si="3"/>
        <v>363000</v>
      </c>
      <c r="S16" s="227"/>
      <c r="T16" s="227">
        <v>100000</v>
      </c>
      <c r="U16" s="234">
        <v>0.1</v>
      </c>
      <c r="V16" s="227">
        <f t="shared" si="7"/>
        <v>5850</v>
      </c>
      <c r="W16" s="227"/>
      <c r="X16" s="227"/>
      <c r="Y16" s="227"/>
      <c r="Z16" s="227"/>
      <c r="AA16" s="227"/>
    </row>
    <row r="17" spans="1:27" x14ac:dyDescent="0.25">
      <c r="A17" s="14">
        <v>5769687</v>
      </c>
      <c r="B17" s="14" t="s">
        <v>234</v>
      </c>
      <c r="C17" s="14" t="s">
        <v>235</v>
      </c>
      <c r="D17" s="14" t="s">
        <v>236</v>
      </c>
      <c r="E17" s="42">
        <v>40534</v>
      </c>
      <c r="F17" s="14">
        <v>36</v>
      </c>
      <c r="G17" s="14" t="s">
        <v>181</v>
      </c>
      <c r="H17" s="14" t="s">
        <v>182</v>
      </c>
      <c r="I17" s="14">
        <v>87</v>
      </c>
      <c r="J17" s="43">
        <v>8500</v>
      </c>
      <c r="K17" s="44" cm="1">
        <f t="array" ref="K17">_xlfn.XLOOKUP(I17,$T$4:$T$8,_xlfn.XLOOKUP(H17,$U$3:$W$3,$U$4:$W$8,,0),,-1)*J17</f>
        <v>1700</v>
      </c>
      <c r="L17" s="11">
        <f t="shared" si="0"/>
        <v>45971</v>
      </c>
      <c r="M17" s="11">
        <f t="shared" si="4"/>
        <v>45971</v>
      </c>
      <c r="N17" s="11">
        <f t="shared" si="5"/>
        <v>45971</v>
      </c>
      <c r="O17" s="11">
        <f t="shared" si="6"/>
        <v>42735</v>
      </c>
      <c r="P17" s="45">
        <f t="shared" si="1"/>
        <v>212.5</v>
      </c>
      <c r="Q17" s="46">
        <f t="shared" si="2"/>
        <v>2266.6666666666665</v>
      </c>
      <c r="R17" s="45">
        <f t="shared" si="3"/>
        <v>102000</v>
      </c>
      <c r="S17" s="227"/>
      <c r="T17" s="227"/>
      <c r="U17" s="227"/>
      <c r="V17" s="227"/>
      <c r="W17" s="227"/>
      <c r="X17" s="227"/>
      <c r="Y17" s="227"/>
      <c r="Z17" s="227"/>
      <c r="AA17" s="227"/>
    </row>
    <row r="18" spans="1:27" x14ac:dyDescent="0.25">
      <c r="A18" s="14">
        <v>5720158</v>
      </c>
      <c r="B18" s="14" t="s">
        <v>237</v>
      </c>
      <c r="C18" s="14" t="s">
        <v>238</v>
      </c>
      <c r="D18" s="14" t="s">
        <v>239</v>
      </c>
      <c r="E18" s="42">
        <v>44419</v>
      </c>
      <c r="F18" s="14">
        <v>27</v>
      </c>
      <c r="G18" s="14" t="s">
        <v>197</v>
      </c>
      <c r="H18" s="14" t="s">
        <v>182</v>
      </c>
      <c r="I18" s="14">
        <v>19</v>
      </c>
      <c r="J18" s="43">
        <v>58125</v>
      </c>
      <c r="K18" s="44" cm="1">
        <f t="array" ref="K18">_xlfn.XLOOKUP(I18,$T$4:$T$8,_xlfn.XLOOKUP(H18,$U$3:$W$3,$U$4:$W$8,,0),,-1)*J18</f>
        <v>8718.75</v>
      </c>
      <c r="L18" s="11">
        <f t="shared" si="0"/>
        <v>46630</v>
      </c>
      <c r="M18" s="11">
        <f t="shared" si="4"/>
        <v>46630</v>
      </c>
      <c r="N18" s="11">
        <f t="shared" si="5"/>
        <v>45848</v>
      </c>
      <c r="O18" s="11">
        <f t="shared" si="6"/>
        <v>46630</v>
      </c>
      <c r="P18" s="45">
        <f t="shared" si="1"/>
        <v>2709.375</v>
      </c>
      <c r="Q18" s="46">
        <f t="shared" si="2"/>
        <v>15500</v>
      </c>
      <c r="R18" s="45">
        <f t="shared" si="3"/>
        <v>697500</v>
      </c>
      <c r="S18" s="227"/>
      <c r="T18" s="230" t="s">
        <v>240</v>
      </c>
      <c r="U18" s="227"/>
      <c r="V18" s="195" t="s">
        <v>241</v>
      </c>
      <c r="W18" s="227"/>
      <c r="X18" s="227"/>
      <c r="Y18" s="227"/>
      <c r="Z18" s="227"/>
      <c r="AA18" s="227">
        <v>12</v>
      </c>
    </row>
    <row r="19" spans="1:27" x14ac:dyDescent="0.25">
      <c r="A19" s="14">
        <v>5521822</v>
      </c>
      <c r="B19" s="14" t="s">
        <v>242</v>
      </c>
      <c r="C19" s="14" t="s">
        <v>225</v>
      </c>
      <c r="D19" s="14" t="s">
        <v>243</v>
      </c>
      <c r="E19" s="42">
        <v>43641</v>
      </c>
      <c r="F19" s="14">
        <v>27</v>
      </c>
      <c r="G19" s="14" t="s">
        <v>197</v>
      </c>
      <c r="H19" s="14" t="s">
        <v>187</v>
      </c>
      <c r="I19" s="14">
        <v>95</v>
      </c>
      <c r="J19" s="43">
        <v>16000</v>
      </c>
      <c r="K19" s="44" cm="1">
        <f t="array" ref="K19">_xlfn.XLOOKUP(I19,$T$4:$T$8,_xlfn.XLOOKUP(H19,$U$3:$W$3,$U$4:$W$8,,0),,-1)*J19</f>
        <v>3520</v>
      </c>
      <c r="L19" s="11">
        <f t="shared" si="0"/>
        <v>45787</v>
      </c>
      <c r="M19" s="11">
        <f t="shared" si="4"/>
        <v>45787</v>
      </c>
      <c r="N19" s="11">
        <f t="shared" si="5"/>
        <v>45787</v>
      </c>
      <c r="O19" s="11">
        <f t="shared" si="6"/>
        <v>45838</v>
      </c>
      <c r="P19" s="45">
        <f t="shared" si="1"/>
        <v>490</v>
      </c>
      <c r="Q19" s="46">
        <f t="shared" si="2"/>
        <v>4266.666666666667</v>
      </c>
      <c r="R19" s="45">
        <f t="shared" si="3"/>
        <v>192000</v>
      </c>
      <c r="S19" s="227"/>
      <c r="T19" s="235">
        <v>2020</v>
      </c>
      <c r="U19" s="227"/>
      <c r="V19" s="227"/>
      <c r="W19" s="227"/>
      <c r="X19" s="227">
        <v>2020</v>
      </c>
      <c r="Y19" s="227"/>
      <c r="Z19" s="227"/>
      <c r="AA19" s="227"/>
    </row>
    <row r="20" spans="1:27" x14ac:dyDescent="0.25">
      <c r="A20" s="14">
        <v>3907601</v>
      </c>
      <c r="B20" s="14" t="s">
        <v>244</v>
      </c>
      <c r="C20" s="14" t="s">
        <v>245</v>
      </c>
      <c r="D20" s="14" t="s">
        <v>246</v>
      </c>
      <c r="E20" s="42">
        <v>45562</v>
      </c>
      <c r="F20" s="14">
        <v>59</v>
      </c>
      <c r="G20" s="14" t="s">
        <v>181</v>
      </c>
      <c r="H20" s="14" t="s">
        <v>189</v>
      </c>
      <c r="I20" s="14">
        <v>23</v>
      </c>
      <c r="J20" s="43">
        <v>95750</v>
      </c>
      <c r="K20" s="44" cm="1">
        <f t="array" ref="K20">_xlfn.XLOOKUP(I20,$T$4:$T$8,_xlfn.XLOOKUP(H20,$U$3:$W$3,$U$4:$W$8,,0),,-1)*J20</f>
        <v>19150</v>
      </c>
      <c r="L20" s="11">
        <f t="shared" si="0"/>
        <v>47756</v>
      </c>
      <c r="M20" s="11">
        <f t="shared" si="4"/>
        <v>47756</v>
      </c>
      <c r="N20" s="11">
        <f t="shared" si="5"/>
        <v>45879</v>
      </c>
      <c r="O20" s="11">
        <f t="shared" si="6"/>
        <v>47756</v>
      </c>
      <c r="P20" s="45">
        <f t="shared" si="1"/>
        <v>5531.25</v>
      </c>
      <c r="Q20" s="46">
        <f t="shared" si="2"/>
        <v>25533.333333333332</v>
      </c>
      <c r="R20" s="45">
        <f t="shared" si="3"/>
        <v>1149000</v>
      </c>
      <c r="S20" s="227"/>
      <c r="T20" s="235">
        <v>2025</v>
      </c>
      <c r="U20" s="227"/>
      <c r="V20" s="227"/>
      <c r="W20" s="227"/>
      <c r="X20" s="227">
        <v>2025</v>
      </c>
      <c r="Y20" s="227"/>
      <c r="Z20" s="227"/>
      <c r="AA20" s="227"/>
    </row>
    <row r="21" spans="1:27" x14ac:dyDescent="0.25">
      <c r="A21" s="14">
        <v>5127949</v>
      </c>
      <c r="B21" s="14" t="s">
        <v>247</v>
      </c>
      <c r="C21" s="14" t="s">
        <v>248</v>
      </c>
      <c r="D21" s="14" t="s">
        <v>249</v>
      </c>
      <c r="E21" s="42">
        <v>43235</v>
      </c>
      <c r="F21" s="14">
        <v>23</v>
      </c>
      <c r="G21" s="14" t="s">
        <v>193</v>
      </c>
      <c r="H21" s="14" t="s">
        <v>182</v>
      </c>
      <c r="I21" s="14">
        <v>74</v>
      </c>
      <c r="J21" s="43">
        <v>6000</v>
      </c>
      <c r="K21" s="44" cm="1">
        <f t="array" ref="K21">_xlfn.XLOOKUP(I21,$T$4:$T$8,_xlfn.XLOOKUP(H21,$U$3:$W$3,$U$4:$W$8,,0),,-1)*J21</f>
        <v>1200</v>
      </c>
      <c r="L21" s="11">
        <f t="shared" si="0"/>
        <v>45757</v>
      </c>
      <c r="M21" s="11">
        <f t="shared" si="4"/>
        <v>45757</v>
      </c>
      <c r="N21" s="11">
        <f t="shared" si="5"/>
        <v>45757</v>
      </c>
      <c r="O21" s="11">
        <f t="shared" si="6"/>
        <v>45443</v>
      </c>
      <c r="P21" s="45">
        <f t="shared" si="1"/>
        <v>150</v>
      </c>
      <c r="Q21" s="46">
        <f t="shared" si="2"/>
        <v>1600</v>
      </c>
      <c r="R21" s="45">
        <f t="shared" si="3"/>
        <v>72000</v>
      </c>
      <c r="S21" s="227"/>
      <c r="T21" s="235">
        <v>10</v>
      </c>
      <c r="U21" s="227"/>
      <c r="V21" s="227"/>
      <c r="W21" s="227"/>
      <c r="X21" s="227">
        <v>10</v>
      </c>
      <c r="Y21" s="227"/>
      <c r="Z21" s="227"/>
      <c r="AA21" s="227"/>
    </row>
    <row r="22" spans="1:27" x14ac:dyDescent="0.25">
      <c r="A22" s="14">
        <v>3083848</v>
      </c>
      <c r="B22" s="14" t="s">
        <v>250</v>
      </c>
      <c r="C22" s="14" t="s">
        <v>251</v>
      </c>
      <c r="D22" s="14" t="s">
        <v>252</v>
      </c>
      <c r="E22" s="42">
        <v>41908</v>
      </c>
      <c r="F22" s="14">
        <v>18</v>
      </c>
      <c r="G22" s="14" t="s">
        <v>181</v>
      </c>
      <c r="H22" s="14" t="s">
        <v>182</v>
      </c>
      <c r="I22" s="14">
        <v>9</v>
      </c>
      <c r="J22" s="43">
        <v>11000</v>
      </c>
      <c r="K22" s="44" cm="1">
        <f t="array" ref="K22">_xlfn.XLOOKUP(I22,$T$4:$T$8,_xlfn.XLOOKUP(H22,$U$3:$W$3,$U$4:$W$8,,0),,-1)*J22</f>
        <v>1320</v>
      </c>
      <c r="L22" s="11">
        <f t="shared" si="0"/>
        <v>45879</v>
      </c>
      <c r="M22" s="11">
        <f t="shared" si="4"/>
        <v>45879</v>
      </c>
      <c r="N22" s="11">
        <f t="shared" si="5"/>
        <v>45879</v>
      </c>
      <c r="O22" s="11">
        <f t="shared" si="6"/>
        <v>44104</v>
      </c>
      <c r="P22" s="45">
        <f t="shared" si="1"/>
        <v>290</v>
      </c>
      <c r="Q22" s="46">
        <f t="shared" si="2"/>
        <v>2933.3333333333335</v>
      </c>
      <c r="R22" s="45">
        <f t="shared" si="3"/>
        <v>132000</v>
      </c>
      <c r="S22" s="227"/>
      <c r="T22" s="235">
        <v>1</v>
      </c>
      <c r="U22" s="227"/>
      <c r="V22" s="227"/>
      <c r="W22" s="227"/>
      <c r="X22" s="227">
        <v>1</v>
      </c>
      <c r="Y22" s="227"/>
      <c r="Z22" s="227"/>
      <c r="AA22" s="227"/>
    </row>
    <row r="23" spans="1:27" x14ac:dyDescent="0.25">
      <c r="A23" s="14">
        <v>4115321</v>
      </c>
      <c r="B23" s="14" t="s">
        <v>253</v>
      </c>
      <c r="C23" s="14" t="s">
        <v>254</v>
      </c>
      <c r="D23" s="14" t="s">
        <v>255</v>
      </c>
      <c r="E23" s="42">
        <v>43335</v>
      </c>
      <c r="F23" s="14">
        <v>53</v>
      </c>
      <c r="G23" s="14" t="s">
        <v>181</v>
      </c>
      <c r="H23" s="14" t="s">
        <v>182</v>
      </c>
      <c r="I23" s="14">
        <v>54</v>
      </c>
      <c r="J23" s="43">
        <v>20000</v>
      </c>
      <c r="K23" s="44" cm="1">
        <f t="array" ref="K23">_xlfn.XLOOKUP(I23,$T$4:$T$8,_xlfn.XLOOKUP(H23,$U$3:$W$3,$U$4:$W$8,,0),,-1)*J23</f>
        <v>3600</v>
      </c>
      <c r="L23" s="11">
        <f t="shared" si="0"/>
        <v>45848</v>
      </c>
      <c r="M23" s="11">
        <f t="shared" si="4"/>
        <v>45848</v>
      </c>
      <c r="N23" s="11">
        <f t="shared" si="5"/>
        <v>45848</v>
      </c>
      <c r="O23" s="11">
        <f t="shared" si="6"/>
        <v>45535</v>
      </c>
      <c r="P23" s="45">
        <f t="shared" si="1"/>
        <v>650</v>
      </c>
      <c r="Q23" s="46">
        <f t="shared" si="2"/>
        <v>5333.333333333333</v>
      </c>
      <c r="R23" s="45">
        <f t="shared" si="3"/>
        <v>240000</v>
      </c>
      <c r="S23" s="227"/>
      <c r="T23" s="235">
        <v>6</v>
      </c>
      <c r="U23" s="227"/>
      <c r="V23" s="227"/>
      <c r="W23" s="227"/>
      <c r="X23" s="227">
        <v>6</v>
      </c>
      <c r="Y23" s="227"/>
      <c r="Z23" s="227"/>
      <c r="AA23" s="227"/>
    </row>
    <row r="24" spans="1:27" x14ac:dyDescent="0.25">
      <c r="A24" s="14">
        <v>5073393</v>
      </c>
      <c r="B24" s="14" t="s">
        <v>256</v>
      </c>
      <c r="C24" s="14" t="s">
        <v>257</v>
      </c>
      <c r="D24" s="14" t="s">
        <v>258</v>
      </c>
      <c r="E24" s="42">
        <v>44491</v>
      </c>
      <c r="F24" s="14">
        <v>36</v>
      </c>
      <c r="G24" s="14" t="s">
        <v>193</v>
      </c>
      <c r="H24" s="14" t="s">
        <v>189</v>
      </c>
      <c r="I24" s="14">
        <v>22</v>
      </c>
      <c r="J24" s="43">
        <v>6000</v>
      </c>
      <c r="K24" s="44" cm="1">
        <f t="array" ref="K24">_xlfn.XLOOKUP(I24,$T$4:$T$8,_xlfn.XLOOKUP(H24,$U$3:$W$3,$U$4:$W$8,,0),,-1)*J24</f>
        <v>1200</v>
      </c>
      <c r="L24" s="11">
        <f t="shared" si="0"/>
        <v>46691</v>
      </c>
      <c r="M24" s="11">
        <f t="shared" si="4"/>
        <v>46691</v>
      </c>
      <c r="N24" s="11">
        <f t="shared" si="5"/>
        <v>45910</v>
      </c>
      <c r="O24" s="11">
        <f t="shared" si="6"/>
        <v>46691</v>
      </c>
      <c r="P24" s="45">
        <f t="shared" si="1"/>
        <v>150</v>
      </c>
      <c r="Q24" s="46">
        <f t="shared" si="2"/>
        <v>1600</v>
      </c>
      <c r="R24" s="45">
        <f t="shared" si="3"/>
        <v>72000</v>
      </c>
      <c r="S24" s="227"/>
      <c r="T24" s="235">
        <v>1</v>
      </c>
      <c r="U24" s="227"/>
      <c r="V24" s="227"/>
      <c r="W24" s="227"/>
      <c r="X24" s="227">
        <v>1</v>
      </c>
      <c r="Y24" s="227"/>
      <c r="Z24" s="227"/>
      <c r="AA24" s="227"/>
    </row>
    <row r="25" spans="1:27" x14ac:dyDescent="0.25">
      <c r="A25" s="14">
        <v>3791707</v>
      </c>
      <c r="B25" s="14" t="s">
        <v>209</v>
      </c>
      <c r="C25" s="14" t="s">
        <v>259</v>
      </c>
      <c r="D25" s="14" t="s">
        <v>260</v>
      </c>
      <c r="E25" s="42">
        <v>40426</v>
      </c>
      <c r="F25" s="14">
        <v>32</v>
      </c>
      <c r="G25" s="14" t="s">
        <v>197</v>
      </c>
      <c r="H25" s="14" t="s">
        <v>189</v>
      </c>
      <c r="I25" s="14">
        <v>113</v>
      </c>
      <c r="J25" s="43">
        <v>18750</v>
      </c>
      <c r="K25" s="44" cm="1">
        <f t="array" ref="K25">_xlfn.XLOOKUP(I25,$T$4:$T$8,_xlfn.XLOOKUP(H25,$U$3:$W$3,$U$4:$W$8,,0),,-1)*J25</f>
        <v>6000</v>
      </c>
      <c r="L25" s="11">
        <f t="shared" si="0"/>
        <v>45879</v>
      </c>
      <c r="M25" s="11">
        <f t="shared" si="4"/>
        <v>45879</v>
      </c>
      <c r="N25" s="11">
        <f t="shared" si="5"/>
        <v>45879</v>
      </c>
      <c r="O25" s="11">
        <f t="shared" si="6"/>
        <v>42643</v>
      </c>
      <c r="P25" s="45">
        <f t="shared" si="1"/>
        <v>600</v>
      </c>
      <c r="Q25" s="46">
        <f t="shared" si="2"/>
        <v>5000</v>
      </c>
      <c r="R25" s="45">
        <f t="shared" si="3"/>
        <v>225000</v>
      </c>
      <c r="S25" s="227"/>
      <c r="T25" s="235">
        <v>0</v>
      </c>
      <c r="U25" s="227"/>
      <c r="V25" s="227"/>
      <c r="W25" s="227"/>
      <c r="X25" s="227">
        <v>0</v>
      </c>
      <c r="Y25" s="227"/>
      <c r="Z25" s="227"/>
      <c r="AA25" s="227"/>
    </row>
    <row r="26" spans="1:27" x14ac:dyDescent="0.25">
      <c r="A26" s="14">
        <v>5609175</v>
      </c>
      <c r="B26" s="14" t="s">
        <v>261</v>
      </c>
      <c r="C26" s="14" t="s">
        <v>262</v>
      </c>
      <c r="D26" s="14" t="s">
        <v>263</v>
      </c>
      <c r="E26" s="42">
        <v>39528</v>
      </c>
      <c r="F26" s="14">
        <v>33</v>
      </c>
      <c r="G26" s="14" t="s">
        <v>193</v>
      </c>
      <c r="H26" s="14" t="s">
        <v>182</v>
      </c>
      <c r="I26" s="14">
        <v>64</v>
      </c>
      <c r="J26" s="43">
        <v>36375</v>
      </c>
      <c r="K26" s="44" cm="1">
        <f t="array" ref="K26">_xlfn.XLOOKUP(I26,$T$4:$T$8,_xlfn.XLOOKUP(H26,$U$3:$W$3,$U$4:$W$8,,0),,-1)*J26</f>
        <v>6547.5</v>
      </c>
      <c r="L26" s="11">
        <f t="shared" si="0"/>
        <v>45698</v>
      </c>
      <c r="M26" s="11">
        <f t="shared" si="4"/>
        <v>45698</v>
      </c>
      <c r="N26" s="11">
        <f t="shared" si="5"/>
        <v>45698</v>
      </c>
      <c r="O26" s="11">
        <f t="shared" si="6"/>
        <v>41729</v>
      </c>
      <c r="P26" s="45">
        <f t="shared" si="1"/>
        <v>1418.75</v>
      </c>
      <c r="Q26" s="46">
        <f t="shared" si="2"/>
        <v>9700</v>
      </c>
      <c r="R26" s="45">
        <f t="shared" si="3"/>
        <v>436500</v>
      </c>
      <c r="S26" s="227"/>
      <c r="T26" s="227"/>
      <c r="U26" s="227"/>
      <c r="V26" s="227"/>
      <c r="W26" s="227"/>
      <c r="X26" s="227"/>
      <c r="Y26" s="227"/>
      <c r="Z26" s="227"/>
      <c r="AA26" s="227"/>
    </row>
    <row r="27" spans="1:27" x14ac:dyDescent="0.25">
      <c r="A27" s="14">
        <v>5989536</v>
      </c>
      <c r="B27" s="14" t="s">
        <v>264</v>
      </c>
      <c r="C27" s="14" t="s">
        <v>265</v>
      </c>
      <c r="D27" s="14" t="s">
        <v>266</v>
      </c>
      <c r="E27" s="42">
        <v>39502</v>
      </c>
      <c r="F27" s="14">
        <v>52</v>
      </c>
      <c r="G27" s="14" t="s">
        <v>193</v>
      </c>
      <c r="H27" s="14" t="s">
        <v>189</v>
      </c>
      <c r="I27" s="14">
        <v>28</v>
      </c>
      <c r="J27" s="43">
        <v>34750</v>
      </c>
      <c r="K27" s="44" cm="1">
        <f t="array" ref="K27">_xlfn.XLOOKUP(I27,$T$4:$T$8,_xlfn.XLOOKUP(H27,$U$3:$W$3,$U$4:$W$8,,0),,-1)*J27</f>
        <v>6950</v>
      </c>
      <c r="L27" s="11">
        <f t="shared" si="0"/>
        <v>45667</v>
      </c>
      <c r="M27" s="11">
        <f t="shared" si="4"/>
        <v>45667</v>
      </c>
      <c r="N27" s="11">
        <f t="shared" si="5"/>
        <v>45667</v>
      </c>
      <c r="O27" s="11">
        <f t="shared" si="6"/>
        <v>41698</v>
      </c>
      <c r="P27" s="45">
        <f t="shared" si="1"/>
        <v>1337.5</v>
      </c>
      <c r="Q27" s="46">
        <f t="shared" si="2"/>
        <v>9266.6666666666661</v>
      </c>
      <c r="R27" s="45">
        <f t="shared" si="3"/>
        <v>417000</v>
      </c>
      <c r="S27" s="227"/>
      <c r="T27" s="227"/>
      <c r="U27" s="227"/>
      <c r="V27" s="227"/>
      <c r="W27" s="227"/>
      <c r="X27" s="227"/>
      <c r="Y27" s="227"/>
      <c r="Z27" s="227"/>
      <c r="AA27" s="227"/>
    </row>
    <row r="28" spans="1:27" ht="27.6" x14ac:dyDescent="0.25">
      <c r="A28" s="14">
        <v>4100161</v>
      </c>
      <c r="B28" s="14" t="s">
        <v>267</v>
      </c>
      <c r="C28" s="14" t="s">
        <v>268</v>
      </c>
      <c r="D28" s="14" t="s">
        <v>269</v>
      </c>
      <c r="E28" s="42">
        <v>43649</v>
      </c>
      <c r="F28" s="14">
        <v>21</v>
      </c>
      <c r="G28" s="14" t="s">
        <v>181</v>
      </c>
      <c r="H28" s="14" t="s">
        <v>182</v>
      </c>
      <c r="I28" s="14">
        <v>88</v>
      </c>
      <c r="J28" s="43">
        <v>7125</v>
      </c>
      <c r="K28" s="44" cm="1">
        <f t="array" ref="K28">_xlfn.XLOOKUP(I28,$T$4:$T$8,_xlfn.XLOOKUP(H28,$U$3:$W$3,$U$4:$W$8,,0),,-1)*J28</f>
        <v>1425</v>
      </c>
      <c r="L28" s="11">
        <f t="shared" si="0"/>
        <v>45818</v>
      </c>
      <c r="M28" s="11">
        <f t="shared" si="4"/>
        <v>45818</v>
      </c>
      <c r="N28" s="11">
        <f t="shared" si="5"/>
        <v>45818</v>
      </c>
      <c r="O28" s="11">
        <f t="shared" si="6"/>
        <v>45869</v>
      </c>
      <c r="P28" s="45">
        <f t="shared" si="1"/>
        <v>178.125</v>
      </c>
      <c r="Q28" s="46">
        <f t="shared" si="2"/>
        <v>1900</v>
      </c>
      <c r="R28" s="45">
        <f t="shared" si="3"/>
        <v>85500</v>
      </c>
      <c r="S28" s="227"/>
      <c r="T28" s="240" t="s">
        <v>168</v>
      </c>
      <c r="U28" s="240" t="s">
        <v>168</v>
      </c>
      <c r="V28" s="240" t="s">
        <v>171</v>
      </c>
      <c r="W28" s="227"/>
      <c r="X28" s="227"/>
      <c r="Y28" s="227"/>
      <c r="Z28" s="227"/>
      <c r="AA28" s="227"/>
    </row>
    <row r="29" spans="1:27" x14ac:dyDescent="0.25">
      <c r="A29" s="14">
        <v>5763159</v>
      </c>
      <c r="B29" s="14" t="s">
        <v>270</v>
      </c>
      <c r="C29" s="14" t="s">
        <v>271</v>
      </c>
      <c r="D29" s="14" t="s">
        <v>272</v>
      </c>
      <c r="E29" s="42">
        <v>39551</v>
      </c>
      <c r="F29" s="14">
        <v>42</v>
      </c>
      <c r="G29" s="14" t="s">
        <v>197</v>
      </c>
      <c r="H29" s="14" t="s">
        <v>187</v>
      </c>
      <c r="I29" s="14">
        <v>103</v>
      </c>
      <c r="J29" s="43">
        <v>35175</v>
      </c>
      <c r="K29" s="44" cm="1">
        <f t="array" ref="K29">_xlfn.XLOOKUP(I29,$T$4:$T$8,_xlfn.XLOOKUP(H29,$U$3:$W$3,$U$4:$W$8,,0),,-1)*J29</f>
        <v>7738.5</v>
      </c>
      <c r="L29" s="11">
        <f t="shared" si="0"/>
        <v>45726</v>
      </c>
      <c r="M29" s="11">
        <f t="shared" si="4"/>
        <v>45726</v>
      </c>
      <c r="N29" s="11">
        <f t="shared" si="5"/>
        <v>45726</v>
      </c>
      <c r="O29" s="11">
        <f t="shared" si="6"/>
        <v>41759</v>
      </c>
      <c r="P29" s="45">
        <f t="shared" si="1"/>
        <v>1358.75</v>
      </c>
      <c r="Q29" s="46">
        <f t="shared" si="2"/>
        <v>9380</v>
      </c>
      <c r="R29" s="45">
        <f t="shared" si="3"/>
        <v>422100</v>
      </c>
      <c r="S29" s="227"/>
      <c r="T29" s="227" t="s">
        <v>309</v>
      </c>
      <c r="U29" s="227" t="s">
        <v>308</v>
      </c>
      <c r="V29" s="235" t="s">
        <v>182</v>
      </c>
      <c r="W29" s="227"/>
      <c r="X29" s="227"/>
      <c r="Y29" s="227"/>
      <c r="Z29" s="227"/>
      <c r="AA29" s="227"/>
    </row>
    <row r="30" spans="1:27" x14ac:dyDescent="0.25">
      <c r="A30" s="14">
        <v>3539546</v>
      </c>
      <c r="B30" s="14" t="s">
        <v>273</v>
      </c>
      <c r="C30" s="14" t="s">
        <v>274</v>
      </c>
      <c r="D30" s="14" t="s">
        <v>275</v>
      </c>
      <c r="E30" s="42">
        <v>39882</v>
      </c>
      <c r="F30" s="14">
        <v>19</v>
      </c>
      <c r="G30" s="14" t="s">
        <v>181</v>
      </c>
      <c r="H30" s="14" t="s">
        <v>182</v>
      </c>
      <c r="I30" s="14">
        <v>59</v>
      </c>
      <c r="J30" s="43">
        <v>2625</v>
      </c>
      <c r="K30" s="44" cm="1">
        <f t="array" ref="K30">_xlfn.XLOOKUP(I30,$T$4:$T$8,_xlfn.XLOOKUP(H30,$U$3:$W$3,$U$4:$W$8,,0),,-1)*J30</f>
        <v>472.5</v>
      </c>
      <c r="L30" s="11">
        <f t="shared" si="0"/>
        <v>45698</v>
      </c>
      <c r="M30" s="11">
        <f t="shared" si="4"/>
        <v>45698</v>
      </c>
      <c r="N30" s="11">
        <f t="shared" si="5"/>
        <v>45698</v>
      </c>
      <c r="O30" s="11">
        <f t="shared" si="6"/>
        <v>42094</v>
      </c>
      <c r="P30" s="45">
        <f t="shared" si="1"/>
        <v>65.625</v>
      </c>
      <c r="Q30" s="46">
        <f t="shared" si="2"/>
        <v>700</v>
      </c>
      <c r="R30" s="45">
        <f t="shared" si="3"/>
        <v>31500</v>
      </c>
      <c r="S30" s="227"/>
      <c r="T30" s="227"/>
      <c r="U30" s="227"/>
      <c r="V30" s="227"/>
      <c r="W30" s="227"/>
      <c r="X30" s="227">
        <f>DMAX($A$1:$R$36,$R$1,$T$28:$V$29)</f>
        <v>427500</v>
      </c>
      <c r="Y30" s="227"/>
      <c r="Z30" s="227"/>
      <c r="AA30" s="227"/>
    </row>
    <row r="31" spans="1:27" x14ac:dyDescent="0.25">
      <c r="A31" s="14">
        <v>5664243</v>
      </c>
      <c r="B31" s="14" t="s">
        <v>276</v>
      </c>
      <c r="C31" s="14" t="s">
        <v>277</v>
      </c>
      <c r="D31" s="14" t="s">
        <v>278</v>
      </c>
      <c r="E31" s="42">
        <v>44186</v>
      </c>
      <c r="F31" s="14">
        <v>58</v>
      </c>
      <c r="G31" s="14" t="s">
        <v>181</v>
      </c>
      <c r="H31" s="14" t="s">
        <v>187</v>
      </c>
      <c r="I31" s="14">
        <v>58</v>
      </c>
      <c r="J31" s="43">
        <v>6500</v>
      </c>
      <c r="K31" s="44" cm="1">
        <f t="array" ref="K31">_xlfn.XLOOKUP(I31,$T$4:$T$8,_xlfn.XLOOKUP(H31,$U$3:$W$3,$U$4:$W$8,,0),,-1)*J31</f>
        <v>1300</v>
      </c>
      <c r="L31" s="11">
        <f t="shared" si="0"/>
        <v>46387</v>
      </c>
      <c r="M31" s="11">
        <f t="shared" si="4"/>
        <v>46387</v>
      </c>
      <c r="N31" s="11">
        <f t="shared" si="5"/>
        <v>45971</v>
      </c>
      <c r="O31" s="11">
        <f t="shared" si="6"/>
        <v>46387</v>
      </c>
      <c r="P31" s="45">
        <f t="shared" si="1"/>
        <v>162.5</v>
      </c>
      <c r="Q31" s="46">
        <f t="shared" si="2"/>
        <v>1733.3333333333333</v>
      </c>
      <c r="R31" s="45">
        <f t="shared" si="3"/>
        <v>78000</v>
      </c>
      <c r="S31" s="227"/>
      <c r="T31" s="227"/>
      <c r="U31" s="227"/>
      <c r="V31" s="227"/>
      <c r="W31" s="227"/>
      <c r="X31" s="227"/>
      <c r="Y31" s="227"/>
      <c r="Z31" s="227"/>
      <c r="AA31" s="227"/>
    </row>
    <row r="32" spans="1:27" x14ac:dyDescent="0.25">
      <c r="A32" s="14">
        <v>5678581</v>
      </c>
      <c r="B32" s="14" t="s">
        <v>279</v>
      </c>
      <c r="C32" s="14" t="s">
        <v>280</v>
      </c>
      <c r="D32" s="14" t="s">
        <v>281</v>
      </c>
      <c r="E32" s="42">
        <v>44265</v>
      </c>
      <c r="F32" s="14">
        <v>27</v>
      </c>
      <c r="G32" s="14" t="s">
        <v>193</v>
      </c>
      <c r="H32" s="14" t="s">
        <v>182</v>
      </c>
      <c r="I32" s="14">
        <v>110</v>
      </c>
      <c r="J32" s="43">
        <v>13000</v>
      </c>
      <c r="K32" s="44" cm="1">
        <f t="array" ref="K32">_xlfn.XLOOKUP(I32,$T$4:$T$8,_xlfn.XLOOKUP(H32,$U$3:$W$3,$U$4:$W$8,,0),,-1)*J32</f>
        <v>3250</v>
      </c>
      <c r="L32" s="11">
        <f t="shared" si="0"/>
        <v>46477</v>
      </c>
      <c r="M32" s="11">
        <f t="shared" si="4"/>
        <v>46477</v>
      </c>
      <c r="N32" s="11">
        <f t="shared" si="5"/>
        <v>45698</v>
      </c>
      <c r="O32" s="11">
        <f t="shared" si="6"/>
        <v>46477</v>
      </c>
      <c r="P32" s="45">
        <f t="shared" si="1"/>
        <v>370</v>
      </c>
      <c r="Q32" s="46">
        <f t="shared" si="2"/>
        <v>3466.6666666666665</v>
      </c>
      <c r="R32" s="45">
        <f t="shared" si="3"/>
        <v>156000</v>
      </c>
      <c r="S32" s="227"/>
      <c r="T32" s="227"/>
      <c r="U32" s="227"/>
      <c r="V32" s="227"/>
      <c r="W32" s="227"/>
      <c r="X32" s="227"/>
      <c r="Y32" s="227"/>
      <c r="Z32" s="227"/>
      <c r="AA32" s="227"/>
    </row>
    <row r="33" spans="1:27" x14ac:dyDescent="0.25">
      <c r="A33" s="14">
        <v>4220283</v>
      </c>
      <c r="B33" s="14" t="s">
        <v>282</v>
      </c>
      <c r="C33" s="14" t="s">
        <v>283</v>
      </c>
      <c r="D33" s="14" t="s">
        <v>284</v>
      </c>
      <c r="E33" s="42">
        <v>45228</v>
      </c>
      <c r="F33" s="14">
        <v>19</v>
      </c>
      <c r="G33" s="14" t="s">
        <v>193</v>
      </c>
      <c r="H33" s="14" t="s">
        <v>189</v>
      </c>
      <c r="I33" s="14">
        <v>103</v>
      </c>
      <c r="J33" s="43">
        <v>15250</v>
      </c>
      <c r="K33" s="44" cm="1">
        <f t="array" ref="K33">_xlfn.XLOOKUP(I33,$T$4:$T$8,_xlfn.XLOOKUP(H33,$U$3:$W$3,$U$4:$W$8,,0),,-1)*J33</f>
        <v>4270</v>
      </c>
      <c r="L33" s="11">
        <f t="shared" si="0"/>
        <v>47422</v>
      </c>
      <c r="M33" s="11">
        <f t="shared" si="4"/>
        <v>47422</v>
      </c>
      <c r="N33" s="11">
        <f t="shared" si="5"/>
        <v>45910</v>
      </c>
      <c r="O33" s="11">
        <f t="shared" si="6"/>
        <v>47422</v>
      </c>
      <c r="P33" s="45">
        <f t="shared" si="1"/>
        <v>460</v>
      </c>
      <c r="Q33" s="46">
        <f t="shared" si="2"/>
        <v>4066.6666666666665</v>
      </c>
      <c r="R33" s="45">
        <f t="shared" si="3"/>
        <v>183000</v>
      </c>
      <c r="S33" s="227"/>
      <c r="T33" s="227"/>
      <c r="U33" s="227"/>
      <c r="V33" s="227"/>
      <c r="W33" s="227"/>
      <c r="X33" s="227"/>
      <c r="Y33" s="227"/>
      <c r="Z33" s="227"/>
      <c r="AA33" s="227"/>
    </row>
    <row r="34" spans="1:27" x14ac:dyDescent="0.25">
      <c r="A34" s="14">
        <v>3591027</v>
      </c>
      <c r="B34" s="14" t="s">
        <v>285</v>
      </c>
      <c r="C34" s="14" t="s">
        <v>286</v>
      </c>
      <c r="D34" s="49" t="s">
        <v>287</v>
      </c>
      <c r="E34" s="50">
        <v>43436</v>
      </c>
      <c r="F34" s="14">
        <v>20</v>
      </c>
      <c r="G34" s="14" t="s">
        <v>181</v>
      </c>
      <c r="H34" s="14" t="s">
        <v>182</v>
      </c>
      <c r="I34" s="14">
        <v>8</v>
      </c>
      <c r="J34" s="43">
        <v>16500</v>
      </c>
      <c r="K34" s="44" cm="1">
        <f t="array" ref="K34">_xlfn.XLOOKUP(I34,$T$4:$T$8,_xlfn.XLOOKUP(H34,$U$3:$W$3,$U$4:$W$8,,0),,-1)*J34</f>
        <v>1980</v>
      </c>
      <c r="L34" s="11">
        <f t="shared" si="0"/>
        <v>45971</v>
      </c>
      <c r="M34" s="11">
        <f t="shared" si="4"/>
        <v>45971</v>
      </c>
      <c r="N34" s="11">
        <f t="shared" si="5"/>
        <v>45971</v>
      </c>
      <c r="O34" s="11">
        <f t="shared" si="6"/>
        <v>45657</v>
      </c>
      <c r="P34" s="45">
        <f t="shared" si="1"/>
        <v>510</v>
      </c>
      <c r="Q34" s="46">
        <f t="shared" si="2"/>
        <v>4400</v>
      </c>
      <c r="R34" s="45">
        <f t="shared" si="3"/>
        <v>198000</v>
      </c>
      <c r="S34" s="227"/>
      <c r="T34" s="227"/>
      <c r="U34" s="227"/>
      <c r="V34" s="227"/>
      <c r="W34" s="227"/>
      <c r="X34" s="227"/>
      <c r="Y34" s="227"/>
      <c r="Z34" s="227"/>
      <c r="AA34" s="227"/>
    </row>
    <row r="35" spans="1:27" x14ac:dyDescent="0.25">
      <c r="A35" s="14">
        <v>4241247</v>
      </c>
      <c r="B35" s="14" t="s">
        <v>288</v>
      </c>
      <c r="C35" s="14" t="s">
        <v>289</v>
      </c>
      <c r="D35" s="14" t="s">
        <v>290</v>
      </c>
      <c r="E35" s="42">
        <v>44450</v>
      </c>
      <c r="F35" s="14">
        <v>65</v>
      </c>
      <c r="G35" s="14" t="s">
        <v>181</v>
      </c>
      <c r="H35" s="14" t="s">
        <v>182</v>
      </c>
      <c r="I35" s="14">
        <v>14</v>
      </c>
      <c r="J35" s="43">
        <v>6625</v>
      </c>
      <c r="K35" s="44" cm="1">
        <f t="array" ref="K35">_xlfn.XLOOKUP(I35,$T$4:$T$8,_xlfn.XLOOKUP(H35,$U$3:$W$3,$U$4:$W$8,,0),,-1)*J35</f>
        <v>795</v>
      </c>
      <c r="L35" s="11">
        <f t="shared" si="0"/>
        <v>46660</v>
      </c>
      <c r="M35" s="11">
        <f t="shared" si="4"/>
        <v>46660</v>
      </c>
      <c r="N35" s="11">
        <f t="shared" si="5"/>
        <v>45879</v>
      </c>
      <c r="O35" s="11">
        <f t="shared" si="6"/>
        <v>46660</v>
      </c>
      <c r="P35" s="45">
        <f t="shared" si="1"/>
        <v>165.625</v>
      </c>
      <c r="Q35" s="46">
        <f t="shared" si="2"/>
        <v>1766.6666666666667</v>
      </c>
      <c r="R35" s="45">
        <f t="shared" si="3"/>
        <v>79500</v>
      </c>
      <c r="S35" s="227"/>
      <c r="T35" s="229" t="s">
        <v>291</v>
      </c>
      <c r="U35" s="229">
        <v>3.75</v>
      </c>
      <c r="V35" s="229" t="s">
        <v>292</v>
      </c>
      <c r="W35" s="227"/>
      <c r="X35" s="246">
        <f>AVERAGE($I$2:$I$36)</f>
        <v>63.085714285714289</v>
      </c>
      <c r="Y35" s="227"/>
      <c r="Z35" s="227"/>
      <c r="AA35" s="227"/>
    </row>
    <row r="36" spans="1:27" x14ac:dyDescent="0.25">
      <c r="A36" s="14">
        <v>4280247</v>
      </c>
      <c r="B36" s="14" t="s">
        <v>293</v>
      </c>
      <c r="C36" s="14" t="s">
        <v>294</v>
      </c>
      <c r="D36" s="14" t="s">
        <v>295</v>
      </c>
      <c r="E36" s="42">
        <v>45447</v>
      </c>
      <c r="F36" s="14">
        <v>40</v>
      </c>
      <c r="G36" s="14" t="s">
        <v>181</v>
      </c>
      <c r="H36" s="14" t="s">
        <v>187</v>
      </c>
      <c r="I36" s="14">
        <v>56</v>
      </c>
      <c r="J36" s="43">
        <v>7500</v>
      </c>
      <c r="K36" s="44" cm="1">
        <f t="array" ref="K36">_xlfn.XLOOKUP(I36,$T$4:$T$8,_xlfn.XLOOKUP(H36,$U$3:$W$3,$U$4:$W$8,,0),,-1)*J36</f>
        <v>1500</v>
      </c>
      <c r="L36" s="11">
        <f t="shared" si="0"/>
        <v>47664</v>
      </c>
      <c r="M36" s="11">
        <f t="shared" si="4"/>
        <v>47664</v>
      </c>
      <c r="N36" s="11">
        <f t="shared" si="5"/>
        <v>45787</v>
      </c>
      <c r="O36" s="11">
        <f t="shared" si="6"/>
        <v>47664</v>
      </c>
      <c r="P36" s="45">
        <f t="shared" si="1"/>
        <v>187.5</v>
      </c>
      <c r="Q36" s="46">
        <f t="shared" si="2"/>
        <v>2000</v>
      </c>
      <c r="R36" s="45">
        <f t="shared" si="3"/>
        <v>90000</v>
      </c>
      <c r="S36" s="227"/>
      <c r="T36" s="227"/>
      <c r="U36" s="227"/>
      <c r="V36" s="227"/>
      <c r="W36" s="227"/>
      <c r="X36" s="227"/>
      <c r="Y36" s="227"/>
      <c r="Z36" s="227"/>
      <c r="AA36" s="227"/>
    </row>
    <row r="37" spans="1:27" ht="47.25" customHeight="1" x14ac:dyDescent="0.25">
      <c r="A37" s="208"/>
      <c r="B37" s="208"/>
      <c r="C37" s="208"/>
      <c r="D37" s="208"/>
      <c r="E37" s="251"/>
      <c r="F37" s="208"/>
      <c r="G37" s="208"/>
      <c r="H37" s="208"/>
      <c r="I37" s="208"/>
      <c r="J37" s="241"/>
      <c r="K37" s="189"/>
      <c r="L37" s="189"/>
      <c r="M37" s="188">
        <f t="shared" si="4"/>
        <v>45636</v>
      </c>
      <c r="N37" s="188">
        <f t="shared" si="5"/>
        <v>45636</v>
      </c>
      <c r="O37" s="188">
        <f t="shared" si="6"/>
        <v>2223</v>
      </c>
      <c r="P37" s="189"/>
      <c r="Q37" s="242"/>
      <c r="R37" s="240" t="s">
        <v>169</v>
      </c>
      <c r="S37" s="240" t="s">
        <v>169</v>
      </c>
      <c r="T37" s="240" t="s">
        <v>170</v>
      </c>
      <c r="U37" s="240" t="s">
        <v>171</v>
      </c>
      <c r="V37" s="240" t="s">
        <v>172</v>
      </c>
      <c r="W37" s="240" t="s">
        <v>177</v>
      </c>
      <c r="X37" s="227"/>
      <c r="Y37" s="227"/>
      <c r="Z37" s="227"/>
      <c r="AA37" s="227"/>
    </row>
    <row r="38" spans="1:27" x14ac:dyDescent="0.25">
      <c r="A38" s="230" t="s">
        <v>296</v>
      </c>
      <c r="B38" s="208"/>
      <c r="C38" s="208"/>
      <c r="D38" s="208"/>
      <c r="E38" s="208"/>
      <c r="F38" s="208"/>
      <c r="G38" s="208"/>
      <c r="H38" s="208"/>
      <c r="I38" s="208"/>
      <c r="J38" s="241"/>
      <c r="K38" s="189"/>
      <c r="L38" s="189"/>
      <c r="M38" s="188">
        <f t="shared" si="4"/>
        <v>45636</v>
      </c>
      <c r="N38" s="188">
        <f t="shared" si="5"/>
        <v>45636</v>
      </c>
      <c r="O38" s="188">
        <f t="shared" si="6"/>
        <v>2223</v>
      </c>
      <c r="P38" s="189"/>
      <c r="Q38" s="242"/>
      <c r="R38" s="189" t="s">
        <v>297</v>
      </c>
      <c r="S38" s="189" t="s">
        <v>298</v>
      </c>
      <c r="T38" s="208" t="s">
        <v>193</v>
      </c>
      <c r="U38" s="227"/>
      <c r="V38" s="227"/>
      <c r="W38" s="227"/>
      <c r="X38" s="227"/>
      <c r="Y38" s="227"/>
      <c r="Z38" s="227"/>
      <c r="AA38" s="227"/>
    </row>
    <row r="39" spans="1:27" x14ac:dyDescent="0.25">
      <c r="A39" s="252">
        <f>SUM(P2:P36)</f>
        <v>40369.375</v>
      </c>
      <c r="B39" s="208"/>
      <c r="C39" s="208"/>
      <c r="D39" s="208"/>
      <c r="E39" s="208"/>
      <c r="F39" s="208"/>
      <c r="G39" s="208"/>
      <c r="H39" s="208"/>
      <c r="I39" s="208"/>
      <c r="J39" s="241"/>
      <c r="K39" s="189"/>
      <c r="L39" s="189"/>
      <c r="M39" s="188">
        <f t="shared" si="4"/>
        <v>45636</v>
      </c>
      <c r="N39" s="188">
        <f t="shared" si="5"/>
        <v>45636</v>
      </c>
      <c r="O39" s="188">
        <f t="shared" si="6"/>
        <v>2223</v>
      </c>
      <c r="P39" s="189"/>
      <c r="Q39" s="242"/>
      <c r="R39" s="189" t="s">
        <v>297</v>
      </c>
      <c r="S39" s="189" t="s">
        <v>298</v>
      </c>
      <c r="T39" s="208" t="s">
        <v>197</v>
      </c>
      <c r="U39" s="227"/>
      <c r="V39" s="227"/>
      <c r="W39" s="227"/>
      <c r="X39" s="227"/>
      <c r="Y39" s="227"/>
      <c r="Z39" s="227"/>
      <c r="AA39" s="227"/>
    </row>
    <row r="40" spans="1:27" x14ac:dyDescent="0.25">
      <c r="A40" s="208"/>
      <c r="B40" s="208"/>
      <c r="C40" s="208"/>
      <c r="D40" s="208"/>
      <c r="E40" s="208"/>
      <c r="F40" s="208"/>
      <c r="G40" s="208"/>
      <c r="H40" s="208"/>
      <c r="I40" s="208"/>
      <c r="J40" s="241"/>
      <c r="K40" s="189"/>
      <c r="L40" s="189"/>
      <c r="M40" s="188">
        <f t="shared" si="4"/>
        <v>45636</v>
      </c>
      <c r="N40" s="188">
        <f t="shared" si="5"/>
        <v>45636</v>
      </c>
      <c r="O40" s="188">
        <f t="shared" si="6"/>
        <v>2223</v>
      </c>
      <c r="P40" s="189"/>
      <c r="Q40" s="189"/>
      <c r="R40" s="189"/>
      <c r="S40" s="189"/>
      <c r="T40" s="189"/>
      <c r="U40" s="227"/>
      <c r="V40" s="227"/>
      <c r="W40" s="227" t="s">
        <v>299</v>
      </c>
      <c r="X40" s="227"/>
      <c r="Y40" s="227"/>
      <c r="Z40" s="227"/>
      <c r="AA40" s="227"/>
    </row>
    <row r="41" spans="1:27" x14ac:dyDescent="0.25">
      <c r="A41" s="208"/>
      <c r="B41" s="252">
        <f>A39</f>
        <v>40369.375</v>
      </c>
      <c r="C41" s="253">
        <v>90000</v>
      </c>
      <c r="D41" s="253">
        <v>95000</v>
      </c>
      <c r="E41" s="253">
        <v>100000</v>
      </c>
      <c r="F41" s="253">
        <v>105000</v>
      </c>
      <c r="G41" s="253">
        <v>110000</v>
      </c>
      <c r="H41" s="253">
        <v>115000</v>
      </c>
      <c r="I41" s="253">
        <v>120000</v>
      </c>
      <c r="J41" s="244">
        <v>125000</v>
      </c>
      <c r="K41" s="189"/>
      <c r="L41" s="189"/>
      <c r="M41" s="188">
        <f t="shared" si="4"/>
        <v>102208</v>
      </c>
      <c r="N41" s="188">
        <f t="shared" si="5"/>
        <v>45910</v>
      </c>
      <c r="O41" s="188">
        <f t="shared" si="6"/>
        <v>102208</v>
      </c>
      <c r="P41" s="189"/>
      <c r="Q41" s="189"/>
      <c r="R41" s="189"/>
      <c r="S41" s="189"/>
      <c r="T41" s="189"/>
      <c r="U41" s="235" t="s">
        <v>187</v>
      </c>
      <c r="V41" s="250" t="s">
        <v>300</v>
      </c>
      <c r="W41" s="227"/>
      <c r="X41" s="227"/>
      <c r="Y41" s="227"/>
      <c r="Z41" s="227"/>
      <c r="AA41" s="227"/>
    </row>
    <row r="42" spans="1:27" x14ac:dyDescent="0.25">
      <c r="A42" s="208"/>
      <c r="B42" s="254">
        <v>5.0000000000000001E-3</v>
      </c>
      <c r="C42" s="255">
        <f t="dataTable" ref="C42:J52" dt2D="1" dtr="1" r1="T16" r2="U12"/>
        <v>34418.125</v>
      </c>
      <c r="D42" s="255">
        <v>34168.125</v>
      </c>
      <c r="E42" s="255">
        <v>34024.375</v>
      </c>
      <c r="F42" s="255">
        <v>33899.375</v>
      </c>
      <c r="G42" s="255">
        <v>33774.375</v>
      </c>
      <c r="H42" s="255">
        <v>33674.375</v>
      </c>
      <c r="I42" s="255">
        <v>33674.375</v>
      </c>
      <c r="J42" s="245">
        <v>33674.375</v>
      </c>
      <c r="K42" s="189"/>
      <c r="L42" s="189"/>
      <c r="M42" s="188">
        <f t="shared" si="4"/>
        <v>45667</v>
      </c>
      <c r="N42" s="188">
        <f t="shared" si="5"/>
        <v>45667</v>
      </c>
      <c r="O42" s="188">
        <f t="shared" si="6"/>
        <v>36219</v>
      </c>
      <c r="P42" s="189"/>
      <c r="Q42" s="189"/>
      <c r="R42" s="189"/>
      <c r="S42" s="189"/>
      <c r="T42" s="189"/>
      <c r="U42" s="235" t="s">
        <v>189</v>
      </c>
      <c r="V42" s="250" t="s">
        <v>300</v>
      </c>
      <c r="W42" s="227"/>
      <c r="X42" s="227"/>
      <c r="Y42" s="227"/>
      <c r="Z42" s="227"/>
      <c r="AA42" s="227"/>
    </row>
    <row r="43" spans="1:27" x14ac:dyDescent="0.25">
      <c r="A43" s="208"/>
      <c r="B43" s="254">
        <v>7.4999999999999997E-3</v>
      </c>
      <c r="C43" s="255">
        <v>35211.25</v>
      </c>
      <c r="D43" s="255">
        <v>34961.25</v>
      </c>
      <c r="E43" s="255">
        <v>34817.5</v>
      </c>
      <c r="F43" s="255">
        <v>34692.5</v>
      </c>
      <c r="G43" s="255">
        <v>34567.5</v>
      </c>
      <c r="H43" s="255">
        <v>34467.5</v>
      </c>
      <c r="I43" s="255">
        <v>34467.5</v>
      </c>
      <c r="J43" s="245">
        <v>34467.5</v>
      </c>
      <c r="K43" s="189"/>
      <c r="L43" s="189"/>
      <c r="M43" s="188">
        <f t="shared" si="4"/>
        <v>0</v>
      </c>
      <c r="N43" s="189"/>
      <c r="O43" s="189"/>
      <c r="P43" s="189"/>
      <c r="Q43" s="189"/>
      <c r="R43" s="189"/>
      <c r="S43" s="189"/>
      <c r="T43" s="189"/>
      <c r="U43" s="227"/>
      <c r="V43" s="227"/>
      <c r="W43" s="227"/>
      <c r="X43" s="227"/>
      <c r="Y43" s="227"/>
      <c r="Z43" s="227"/>
      <c r="AA43" s="227"/>
    </row>
    <row r="44" spans="1:27" x14ac:dyDescent="0.25">
      <c r="A44" s="208"/>
      <c r="B44" s="256">
        <v>0.01</v>
      </c>
      <c r="C44" s="255">
        <v>36004.375</v>
      </c>
      <c r="D44" s="255">
        <v>35754.375</v>
      </c>
      <c r="E44" s="255">
        <v>35610.625</v>
      </c>
      <c r="F44" s="255">
        <v>35485.625</v>
      </c>
      <c r="G44" s="255">
        <v>35360.625</v>
      </c>
      <c r="H44" s="255">
        <v>35260.625</v>
      </c>
      <c r="I44" s="255">
        <v>35260.625</v>
      </c>
      <c r="J44" s="245">
        <v>35260.625</v>
      </c>
      <c r="K44" s="189"/>
      <c r="L44" s="189"/>
      <c r="M44" s="188">
        <f t="shared" si="4"/>
        <v>0</v>
      </c>
      <c r="N44" s="189"/>
      <c r="O44" s="189"/>
      <c r="P44" s="189"/>
      <c r="Q44" s="189"/>
      <c r="R44" s="189"/>
      <c r="S44" s="189"/>
      <c r="T44" s="189"/>
    </row>
    <row r="45" spans="1:27" x14ac:dyDescent="0.25">
      <c r="A45" s="208"/>
      <c r="B45" s="254">
        <v>1.2500000000000001E-2</v>
      </c>
      <c r="C45" s="255">
        <v>36797.5</v>
      </c>
      <c r="D45" s="255">
        <v>36547.5</v>
      </c>
      <c r="E45" s="255">
        <v>36403.75</v>
      </c>
      <c r="F45" s="255">
        <v>36278.75</v>
      </c>
      <c r="G45" s="255">
        <v>36153.75</v>
      </c>
      <c r="H45" s="255">
        <v>36053.75</v>
      </c>
      <c r="I45" s="255">
        <v>36053.75</v>
      </c>
      <c r="J45" s="245">
        <v>36053.75</v>
      </c>
      <c r="K45" s="189"/>
      <c r="L45" s="189"/>
      <c r="M45" s="188">
        <f t="shared" si="4"/>
        <v>0</v>
      </c>
      <c r="N45" s="189"/>
      <c r="O45" s="189"/>
      <c r="P45" s="189"/>
      <c r="Q45" s="189"/>
      <c r="R45" s="189"/>
      <c r="S45" s="189"/>
      <c r="T45" s="189"/>
    </row>
    <row r="46" spans="1:27" x14ac:dyDescent="0.25">
      <c r="A46" s="208"/>
      <c r="B46" s="254">
        <v>1.4999999999999999E-2</v>
      </c>
      <c r="C46" s="255">
        <v>37590.625</v>
      </c>
      <c r="D46" s="255">
        <v>37340.625</v>
      </c>
      <c r="E46" s="255">
        <v>37196.875</v>
      </c>
      <c r="F46" s="255">
        <v>37071.875</v>
      </c>
      <c r="G46" s="255">
        <v>36946.875</v>
      </c>
      <c r="H46" s="255">
        <v>36846.875</v>
      </c>
      <c r="I46" s="255">
        <v>36846.875</v>
      </c>
      <c r="J46" s="245">
        <v>36846.875</v>
      </c>
      <c r="K46" s="189"/>
      <c r="L46" s="189"/>
      <c r="M46" s="188">
        <f t="shared" si="4"/>
        <v>0</v>
      </c>
      <c r="N46" s="189"/>
      <c r="O46" s="189"/>
      <c r="P46" s="189"/>
      <c r="Q46" s="189"/>
      <c r="R46" s="189"/>
      <c r="S46" s="189"/>
      <c r="T46" s="189"/>
    </row>
    <row r="47" spans="1:27" x14ac:dyDescent="0.25">
      <c r="A47" s="208"/>
      <c r="B47" s="254">
        <v>1.7500000000000002E-2</v>
      </c>
      <c r="C47" s="255">
        <v>38383.75</v>
      </c>
      <c r="D47" s="255">
        <v>38133.75</v>
      </c>
      <c r="E47" s="255">
        <v>37990</v>
      </c>
      <c r="F47" s="255">
        <v>37865</v>
      </c>
      <c r="G47" s="255">
        <v>37740</v>
      </c>
      <c r="H47" s="255">
        <v>37640</v>
      </c>
      <c r="I47" s="255">
        <v>37640</v>
      </c>
      <c r="J47" s="245">
        <v>37640</v>
      </c>
      <c r="K47" s="189"/>
      <c r="L47" s="189"/>
      <c r="M47" s="188">
        <f t="shared" si="4"/>
        <v>0</v>
      </c>
      <c r="N47" s="189"/>
      <c r="O47" s="189"/>
      <c r="P47" s="189"/>
      <c r="Q47" s="189"/>
      <c r="R47" s="189"/>
      <c r="S47" s="189"/>
      <c r="T47" s="189"/>
    </row>
    <row r="48" spans="1:27" x14ac:dyDescent="0.25">
      <c r="A48" s="208"/>
      <c r="B48" s="254">
        <v>0.02</v>
      </c>
      <c r="C48" s="255">
        <v>39176.875</v>
      </c>
      <c r="D48" s="255">
        <v>38926.875</v>
      </c>
      <c r="E48" s="255">
        <v>38783.125</v>
      </c>
      <c r="F48" s="255">
        <v>38658.125</v>
      </c>
      <c r="G48" s="255">
        <v>38533.125</v>
      </c>
      <c r="H48" s="255">
        <v>38433.125</v>
      </c>
      <c r="I48" s="255">
        <v>38433.125</v>
      </c>
      <c r="J48" s="245">
        <v>38433.125</v>
      </c>
      <c r="K48" s="189"/>
      <c r="L48" s="189"/>
      <c r="M48" s="188">
        <f t="shared" si="4"/>
        <v>0</v>
      </c>
      <c r="N48" s="189"/>
      <c r="O48" s="189"/>
      <c r="P48" s="189"/>
      <c r="Q48" s="189"/>
      <c r="R48" s="189"/>
      <c r="S48" s="189"/>
      <c r="T48" s="189"/>
    </row>
    <row r="49" spans="1:20" x14ac:dyDescent="0.25">
      <c r="A49" s="208"/>
      <c r="B49" s="254">
        <v>2.2499999999999999E-2</v>
      </c>
      <c r="C49" s="255">
        <v>39970</v>
      </c>
      <c r="D49" s="255">
        <v>39720</v>
      </c>
      <c r="E49" s="255">
        <v>39576.25</v>
      </c>
      <c r="F49" s="255">
        <v>39451.25</v>
      </c>
      <c r="G49" s="255">
        <v>39326.25</v>
      </c>
      <c r="H49" s="255">
        <v>39226.25</v>
      </c>
      <c r="I49" s="255">
        <v>39226.25</v>
      </c>
      <c r="J49" s="245">
        <v>39226.25</v>
      </c>
      <c r="K49" s="189"/>
      <c r="L49" s="189"/>
      <c r="M49" s="188">
        <f t="shared" si="4"/>
        <v>0</v>
      </c>
      <c r="N49" s="189"/>
      <c r="O49" s="189"/>
      <c r="P49" s="189"/>
      <c r="Q49" s="189"/>
      <c r="R49" s="189"/>
      <c r="S49" s="189"/>
      <c r="T49" s="189"/>
    </row>
    <row r="50" spans="1:20" x14ac:dyDescent="0.25">
      <c r="A50" s="208"/>
      <c r="B50" s="254">
        <v>2.5000000000000001E-2</v>
      </c>
      <c r="C50" s="255">
        <v>40763.125</v>
      </c>
      <c r="D50" s="255">
        <v>40513.125</v>
      </c>
      <c r="E50" s="255">
        <v>40369.375</v>
      </c>
      <c r="F50" s="255">
        <v>40244.375</v>
      </c>
      <c r="G50" s="255">
        <v>40119.375</v>
      </c>
      <c r="H50" s="255">
        <v>40019.375</v>
      </c>
      <c r="I50" s="255">
        <v>40019.375</v>
      </c>
      <c r="J50" s="245">
        <v>40019.375</v>
      </c>
      <c r="K50" s="189"/>
      <c r="L50" s="189"/>
      <c r="M50" s="188">
        <f t="shared" si="4"/>
        <v>0</v>
      </c>
      <c r="N50" s="189"/>
      <c r="O50" s="189"/>
      <c r="P50" s="189"/>
      <c r="Q50" s="189"/>
      <c r="R50" s="189"/>
      <c r="S50" s="189"/>
      <c r="T50" s="189"/>
    </row>
    <row r="51" spans="1:20" x14ac:dyDescent="0.25">
      <c r="A51" s="208"/>
      <c r="B51" s="254">
        <v>2.75E-2</v>
      </c>
      <c r="C51" s="255">
        <v>41556.25</v>
      </c>
      <c r="D51" s="255">
        <v>41306.25</v>
      </c>
      <c r="E51" s="255">
        <v>41162.5</v>
      </c>
      <c r="F51" s="255">
        <v>41037.5</v>
      </c>
      <c r="G51" s="255">
        <v>40912.5</v>
      </c>
      <c r="H51" s="255">
        <v>40812.5</v>
      </c>
      <c r="I51" s="255">
        <v>40812.5</v>
      </c>
      <c r="J51" s="245">
        <v>40812.5</v>
      </c>
      <c r="K51" s="189"/>
      <c r="L51" s="189"/>
      <c r="M51" s="188">
        <f t="shared" si="4"/>
        <v>0</v>
      </c>
      <c r="N51" s="189"/>
      <c r="O51" s="189"/>
      <c r="P51" s="189"/>
      <c r="Q51" s="189"/>
      <c r="R51" s="189"/>
      <c r="S51" s="189"/>
      <c r="T51" s="189"/>
    </row>
    <row r="52" spans="1:20" x14ac:dyDescent="0.25">
      <c r="A52" s="208"/>
      <c r="B52" s="254">
        <v>0.03</v>
      </c>
      <c r="C52" s="255">
        <v>42349.375</v>
      </c>
      <c r="D52" s="255">
        <v>42099.375</v>
      </c>
      <c r="E52" s="255">
        <v>41955.625</v>
      </c>
      <c r="F52" s="255">
        <v>41830.625</v>
      </c>
      <c r="G52" s="255">
        <v>41705.625</v>
      </c>
      <c r="H52" s="255">
        <v>41605.625</v>
      </c>
      <c r="I52" s="255">
        <v>41605.625</v>
      </c>
      <c r="J52" s="245">
        <v>41605.625</v>
      </c>
      <c r="K52" s="189"/>
      <c r="L52" s="189"/>
      <c r="M52" s="188">
        <f t="shared" si="4"/>
        <v>0</v>
      </c>
      <c r="N52" s="189"/>
      <c r="O52" s="189"/>
      <c r="P52" s="189"/>
      <c r="Q52" s="189"/>
      <c r="R52" s="189"/>
      <c r="S52" s="189"/>
      <c r="T52" s="189"/>
    </row>
    <row r="53" spans="1:20" x14ac:dyDescent="0.25">
      <c r="A53" s="208"/>
      <c r="B53" s="208"/>
      <c r="C53" s="208"/>
      <c r="D53" s="208"/>
      <c r="E53" s="208"/>
      <c r="F53" s="208"/>
      <c r="G53" s="208"/>
      <c r="H53" s="208"/>
      <c r="I53" s="208"/>
      <c r="J53" s="241"/>
      <c r="K53" s="189"/>
      <c r="L53" s="189"/>
      <c r="M53" s="189"/>
      <c r="N53" s="189"/>
      <c r="O53" s="189"/>
      <c r="P53" s="189"/>
      <c r="Q53" s="189"/>
      <c r="R53" s="189"/>
      <c r="S53" s="189"/>
      <c r="T53" s="189"/>
    </row>
    <row r="54" spans="1:20" x14ac:dyDescent="0.25">
      <c r="A54" s="208"/>
      <c r="B54" s="208"/>
      <c r="C54" s="208"/>
      <c r="D54" s="208"/>
      <c r="E54" s="208"/>
      <c r="F54" s="208"/>
      <c r="G54" s="208"/>
      <c r="H54" s="208"/>
      <c r="I54" s="208"/>
      <c r="J54" s="241"/>
      <c r="K54" s="189"/>
      <c r="L54" s="189"/>
      <c r="M54" s="189"/>
      <c r="N54" s="189"/>
      <c r="O54" s="189"/>
      <c r="P54" s="189"/>
      <c r="Q54" s="189"/>
      <c r="R54" s="189"/>
      <c r="S54" s="189"/>
      <c r="T54" s="189"/>
    </row>
    <row r="55" spans="1:20" x14ac:dyDescent="0.25">
      <c r="A55" s="208"/>
      <c r="B55" s="208"/>
      <c r="C55" s="208"/>
      <c r="D55" s="208"/>
      <c r="E55" s="208"/>
      <c r="F55" s="208"/>
      <c r="G55" s="208"/>
      <c r="H55" s="208"/>
      <c r="I55" s="208"/>
      <c r="J55" s="241"/>
      <c r="K55" s="189"/>
      <c r="L55" s="189"/>
      <c r="M55" s="189"/>
      <c r="N55" s="189"/>
      <c r="O55" s="189"/>
      <c r="P55" s="189"/>
      <c r="Q55" s="189"/>
      <c r="R55" s="189"/>
      <c r="S55" s="189"/>
      <c r="T55" s="189"/>
    </row>
    <row r="56" spans="1:20" x14ac:dyDescent="0.25">
      <c r="A56" s="208"/>
      <c r="B56" s="208"/>
      <c r="C56" s="208"/>
      <c r="D56" s="208"/>
      <c r="E56" s="208"/>
      <c r="F56" s="208"/>
      <c r="G56" s="208"/>
      <c r="H56" s="208"/>
      <c r="I56" s="208"/>
      <c r="J56" s="241"/>
      <c r="K56" s="189"/>
      <c r="L56" s="189"/>
      <c r="M56" s="189"/>
      <c r="N56" s="189"/>
      <c r="O56" s="189"/>
      <c r="P56" s="189"/>
      <c r="Q56" s="189"/>
      <c r="R56" s="189"/>
      <c r="S56" s="189"/>
      <c r="T56" s="189"/>
    </row>
  </sheetData>
  <conditionalFormatting sqref="C42:J52">
    <cfRule type="cellIs" dxfId="0" priority="1" operator="greaterThan">
      <formula>40369</formula>
    </cfRule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גליונות עבודה</vt:lpstr>
      </vt:variant>
      <vt:variant>
        <vt:i4>11</vt:i4>
      </vt:variant>
      <vt:variant>
        <vt:lpstr>טווחים בעלי שם</vt:lpstr>
      </vt:variant>
      <vt:variant>
        <vt:i4>4</vt:i4>
      </vt:variant>
    </vt:vector>
  </HeadingPairs>
  <TitlesOfParts>
    <vt:vector size="15" baseType="lpstr">
      <vt:lpstr>averageIf</vt:lpstr>
      <vt:lpstr>CountIf</vt:lpstr>
      <vt:lpstr>הקפאה+IF</vt:lpstr>
      <vt:lpstr>frequency</vt:lpstr>
      <vt:lpstr>עיצוב מותנה</vt:lpstr>
      <vt:lpstr>לקוחות בנק</vt:lpstr>
      <vt:lpstr>IF בתוך IF</vt:lpstr>
      <vt:lpstr>סינון מתקדם</vt:lpstr>
      <vt:lpstr>סינון מתקדם 2  </vt:lpstr>
      <vt:lpstr>דוח לקוחות (מסונן)</vt:lpstr>
      <vt:lpstr>DMAX</vt:lpstr>
      <vt:lpstr>averageIf!Criteria</vt:lpstr>
      <vt:lpstr>averageIf!Extract</vt:lpstr>
      <vt:lpstr>'דוח לקוחות (מסונן)'!Extract</vt:lpstr>
      <vt:lpstr>'עיצוב מותנה'!WPrint_Area_W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משתמש</dc:creator>
  <cp:lastModifiedBy>roy idan</cp:lastModifiedBy>
  <dcterms:created xsi:type="dcterms:W3CDTF">2015-06-05T18:19:34Z</dcterms:created>
  <dcterms:modified xsi:type="dcterms:W3CDTF">2026-01-01T22:01:55Z</dcterms:modified>
</cp:coreProperties>
</file>