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6a597da72398108/Documents/GaliTransfer/יסודות המימון - חשבונאות/מבחנים תשפד/"/>
    </mc:Choice>
  </mc:AlternateContent>
  <xr:revisionPtr revIDLastSave="447" documentId="8_{9B07BA3B-8921-4D1C-B35B-3236B46538E6}" xr6:coauthVersionLast="47" xr6:coauthVersionMax="47" xr10:uidLastSave="{73AE6EA2-34EF-4E7F-9E3E-BEB85151256A}"/>
  <bookViews>
    <workbookView xWindow="-120" yWindow="-120" windowWidth="29040" windowHeight="15840" xr2:uid="{A0B1EA9B-703D-4BEA-AB42-C82F91EDBA4E}"/>
  </bookViews>
  <sheets>
    <sheet name="מועד ב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7" i="1" l="1"/>
  <c r="B269" i="1" s="1"/>
  <c r="B270" i="1" s="1"/>
  <c r="B266" i="1"/>
  <c r="B264" i="1"/>
  <c r="B250" i="1"/>
  <c r="B249" i="1"/>
  <c r="B247" i="1"/>
  <c r="B246" i="1"/>
  <c r="B245" i="1"/>
  <c r="B252" i="1"/>
  <c r="B243" i="1"/>
  <c r="B237" i="1"/>
  <c r="B232" i="1"/>
  <c r="B226" i="1"/>
  <c r="B254" i="1" l="1"/>
  <c r="D80" i="1" l="1"/>
  <c r="D85" i="1" s="1"/>
  <c r="D82" i="1" l="1"/>
  <c r="D83" i="1"/>
  <c r="D84" i="1"/>
  <c r="D87" i="1" l="1"/>
  <c r="B205" i="1"/>
  <c r="B204" i="1"/>
  <c r="C208" i="1"/>
  <c r="C203" i="1"/>
  <c r="C28" i="1"/>
  <c r="C33" i="1" s="1"/>
  <c r="G195" i="1"/>
  <c r="I194" i="1"/>
  <c r="I195" i="1"/>
  <c r="I196" i="1"/>
  <c r="I197" i="1"/>
  <c r="I198" i="1"/>
  <c r="H194" i="1"/>
  <c r="H195" i="1"/>
  <c r="H196" i="1"/>
  <c r="H197" i="1"/>
  <c r="H198" i="1"/>
  <c r="G194" i="1"/>
  <c r="G196" i="1"/>
  <c r="G197" i="1"/>
  <c r="G198" i="1"/>
  <c r="E195" i="1"/>
  <c r="E196" i="1" s="1"/>
  <c r="E197" i="1" s="1"/>
  <c r="E198" i="1" s="1"/>
  <c r="E194" i="1"/>
  <c r="I193" i="1"/>
  <c r="H193" i="1"/>
  <c r="G193" i="1"/>
  <c r="F194" i="1"/>
  <c r="F195" i="1"/>
  <c r="F196" i="1"/>
  <c r="F197" i="1"/>
  <c r="F198" i="1"/>
  <c r="F193" i="1"/>
  <c r="E193" i="1"/>
  <c r="T122" i="1"/>
  <c r="P122" i="1"/>
  <c r="L122" i="1"/>
  <c r="R126" i="1"/>
  <c r="R125" i="1"/>
  <c r="B218" i="1"/>
  <c r="B216" i="1"/>
  <c r="B187" i="1"/>
  <c r="B176" i="1"/>
  <c r="B173" i="1"/>
  <c r="B169" i="1"/>
  <c r="D161" i="1"/>
  <c r="E148" i="1"/>
  <c r="D138" i="1"/>
  <c r="D133" i="1"/>
  <c r="E136" i="1"/>
  <c r="E135" i="1"/>
  <c r="B138" i="1"/>
  <c r="H116" i="1"/>
  <c r="D115" i="1"/>
  <c r="B113" i="1"/>
  <c r="B111" i="1"/>
  <c r="D104" i="1"/>
  <c r="D71" i="1"/>
  <c r="D69" i="1"/>
  <c r="D68" i="1"/>
  <c r="C65" i="1"/>
  <c r="C64" i="1"/>
  <c r="B42" i="1"/>
  <c r="B56" i="1"/>
  <c r="B52" i="1"/>
  <c r="B51" i="1"/>
  <c r="A4" i="1"/>
  <c r="B4" i="1"/>
  <c r="B215" i="1"/>
  <c r="R124" i="1" l="1"/>
  <c r="B185" i="1"/>
  <c r="B188" i="1" s="1"/>
  <c r="B184" i="1"/>
  <c r="D159" i="1" l="1"/>
  <c r="E150" i="1"/>
  <c r="E153" i="1" s="1"/>
  <c r="E154" i="1" l="1"/>
  <c r="B136" i="1" l="1"/>
  <c r="E125" i="1"/>
  <c r="B46" i="1" l="1"/>
  <c r="B41" i="1"/>
  <c r="C22" i="1"/>
  <c r="C23" i="1" s="1"/>
  <c r="A22" i="1" s="1"/>
  <c r="C21" i="1"/>
  <c r="C19" i="1"/>
  <c r="A12" i="1"/>
  <c r="A15" i="1" s="1"/>
  <c r="A16" i="1" s="1"/>
  <c r="B8" i="1"/>
  <c r="A5" i="1" s="1"/>
</calcChain>
</file>

<file path=xl/sharedStrings.xml><?xml version="1.0" encoding="utf-8"?>
<sst xmlns="http://schemas.openxmlformats.org/spreadsheetml/2006/main" count="268" uniqueCount="200">
  <si>
    <t xml:space="preserve">מועד ב' יסודות המימון לחשבונאים- תשפ"ד-סמסטר ב' </t>
  </si>
  <si>
    <t>שאלה 5</t>
  </si>
  <si>
    <t>0 to 12</t>
  </si>
  <si>
    <t>pv</t>
  </si>
  <si>
    <t>Fv</t>
  </si>
  <si>
    <t>Pmt</t>
  </si>
  <si>
    <t>Nper</t>
  </si>
  <si>
    <t>Rate</t>
  </si>
  <si>
    <t>NPER</t>
  </si>
  <si>
    <t>RATE</t>
  </si>
  <si>
    <t>תלת שנתי</t>
  </si>
  <si>
    <t>שנתי</t>
  </si>
  <si>
    <t>PMT</t>
  </si>
  <si>
    <t>PV</t>
  </si>
  <si>
    <t>זמן (2-)</t>
  </si>
  <si>
    <t>חלופה 1</t>
  </si>
  <si>
    <t>חלופה 2</t>
  </si>
  <si>
    <t>FV</t>
  </si>
  <si>
    <t>מקדמה:</t>
  </si>
  <si>
    <t>שאלה 1</t>
  </si>
  <si>
    <t>שאלה 2</t>
  </si>
  <si>
    <t>שאלה 3</t>
  </si>
  <si>
    <t>שאלה 4</t>
  </si>
  <si>
    <t>ריבית שנתית נקובה</t>
  </si>
  <si>
    <t>מחושבת כל רבעון</t>
  </si>
  <si>
    <t>ריבית אפקטיבית רבעונית</t>
  </si>
  <si>
    <t>ריבית אפקטיבית שנתית</t>
  </si>
  <si>
    <t>ריבית חודשית</t>
  </si>
  <si>
    <t>אפקטיבית שנתית</t>
  </si>
  <si>
    <t>חלופה 3</t>
  </si>
  <si>
    <t>ריבית נקובה שנתית</t>
  </si>
  <si>
    <t>מחושבת חציונית</t>
  </si>
  <si>
    <t>אפקטיבית חצי שנתית</t>
  </si>
  <si>
    <t>חלופה 4</t>
  </si>
  <si>
    <t>ריבית אפקטיבית לשנתיים</t>
  </si>
  <si>
    <t>ריבית אפקטיבית לשנה</t>
  </si>
  <si>
    <t>חלופה 5</t>
  </si>
  <si>
    <t>שאלה 6</t>
  </si>
  <si>
    <t>הלוואה בגובה</t>
  </si>
  <si>
    <t>מחושבת חודשית</t>
  </si>
  <si>
    <t>אפקטיבית חודשית</t>
  </si>
  <si>
    <t>עמלת פתיחת תיק</t>
  </si>
  <si>
    <t>מענק</t>
  </si>
  <si>
    <t>סכום הכסף אותו אחזיר לבנק</t>
  </si>
  <si>
    <t>סכום הכסף איתו יצאתי מהבנק</t>
  </si>
  <si>
    <t>הריבית האפקטיבית הגלומה בהלוואה</t>
  </si>
  <si>
    <t>שאלה 7</t>
  </si>
  <si>
    <t>n</t>
  </si>
  <si>
    <t>Reff</t>
  </si>
  <si>
    <t>שאלה 8</t>
  </si>
  <si>
    <t>סכום ההלוואה</t>
  </si>
  <si>
    <t>ריבית רבעונית</t>
  </si>
  <si>
    <t>r1</t>
  </si>
  <si>
    <t>r2</t>
  </si>
  <si>
    <t>ריבית דו-חודשית</t>
  </si>
  <si>
    <t>r3</t>
  </si>
  <si>
    <t>"עמלת רישום מסמכים"</t>
  </si>
  <si>
    <t>"מענק לקוח מועדף"</t>
  </si>
  <si>
    <t>שאלה 9</t>
  </si>
  <si>
    <t>גובה ההלוואה</t>
  </si>
  <si>
    <t>מספר התקופות</t>
  </si>
  <si>
    <t>10 שנים</t>
  </si>
  <si>
    <t>תשלום ע"ח הקרן</t>
  </si>
  <si>
    <t>לאחר 5 שנים לוח הסילוקין שונה לשפיצר . כלומר שולמו כבר 60 תשלומים של לוח סילוקין רגיל</t>
  </si>
  <si>
    <t>גובה ההלוואה הינו מחצית מההלוואה ההתחלתית</t>
  </si>
  <si>
    <t xml:space="preserve">חישוב תשלום ע"ח הריבית בתשלום 100 שהוא בעצם תשלום 40 בלוח שפיצר </t>
  </si>
  <si>
    <t>שאלה 10</t>
  </si>
  <si>
    <t>הלוואת מיכליטוס</t>
  </si>
  <si>
    <t>שפיצר</t>
  </si>
  <si>
    <t>הלוואת רוניוס</t>
  </si>
  <si>
    <t>רגיל</t>
  </si>
  <si>
    <t xml:space="preserve">הלוואה </t>
  </si>
  <si>
    <t>N</t>
  </si>
  <si>
    <t>חודשים</t>
  </si>
  <si>
    <t>שאלה 11</t>
  </si>
  <si>
    <t>סכום להפקדה</t>
  </si>
  <si>
    <t>תקופה (בשנים)</t>
  </si>
  <si>
    <t>שווי העתידי של סכום חד-פעמי + ההפקדות הלא צמוד</t>
  </si>
  <si>
    <t>תקופה בחודשים</t>
  </si>
  <si>
    <t>ריבית שנתית</t>
  </si>
  <si>
    <t>אינפלציה חודשית שנים 1-3</t>
  </si>
  <si>
    <t>אינפלציה חודשית שנים 4-5</t>
  </si>
  <si>
    <t>שאלה 12</t>
  </si>
  <si>
    <t xml:space="preserve">ריבית נקובה שנתית </t>
  </si>
  <si>
    <t>מרכיב קרן בתשלום 10</t>
  </si>
  <si>
    <t xml:space="preserve">גובה ההלוואה </t>
  </si>
  <si>
    <t>מספר תשלומים מקוריים</t>
  </si>
  <si>
    <t xml:space="preserve">מרכיב הריבית בתשלום מספר </t>
  </si>
  <si>
    <t>יתרת פתיחה בתשלום 13=יתרת סגירה בתשלום 12</t>
  </si>
  <si>
    <t>מרכיב הריבית בתשלום מספר 13</t>
  </si>
  <si>
    <t>שאלה 13</t>
  </si>
  <si>
    <t>Rc</t>
  </si>
  <si>
    <t>rp</t>
  </si>
  <si>
    <t>ריבית אפקטיבית ריאלית לשנה</t>
  </si>
  <si>
    <t>שאלה 14</t>
  </si>
  <si>
    <t>מדד היום</t>
  </si>
  <si>
    <t>מדד בעוד 4 שנים</t>
  </si>
  <si>
    <t>השינוי במדד ב-4 השנים</t>
  </si>
  <si>
    <t>תוכנית Link</t>
  </si>
  <si>
    <t>ערך עתידי (לאחר הצמדה)</t>
  </si>
  <si>
    <t>ערך עתידי (לפני הצמדה)</t>
  </si>
  <si>
    <t>ריבית ריאלית</t>
  </si>
  <si>
    <t>תקופת החיסכון</t>
  </si>
  <si>
    <t>סכום הפקדה חד פעמי</t>
  </si>
  <si>
    <t>שאלה 15</t>
  </si>
  <si>
    <t>ריבית נומינלית (תוכנית לא-צמודה)</t>
  </si>
  <si>
    <t>Rn</t>
  </si>
  <si>
    <t>ריבית ריאלית (תוכנית צמודה)</t>
  </si>
  <si>
    <t>Rr</t>
  </si>
  <si>
    <t>סכום היעד</t>
  </si>
  <si>
    <t>מספר שנים</t>
  </si>
  <si>
    <t>מספר חודשים</t>
  </si>
  <si>
    <t>ריבית חודשית בתוכנית הלא-צמודה</t>
  </si>
  <si>
    <t>r</t>
  </si>
  <si>
    <t>שיעור אינפלציה שנתי חזוי</t>
  </si>
  <si>
    <t>πe</t>
  </si>
  <si>
    <t>סכום הפקדה חודשי בתוכנית הלא-צמודה</t>
  </si>
  <si>
    <t>שאלה 16</t>
  </si>
  <si>
    <t>שאלה 17</t>
  </si>
  <si>
    <t>שאלה 18</t>
  </si>
  <si>
    <t>תשלום מיידי 1</t>
  </si>
  <si>
    <t>תשלום מיידי 2</t>
  </si>
  <si>
    <t>תשלום דחוי</t>
  </si>
  <si>
    <t>הפרש מיידי</t>
  </si>
  <si>
    <t>12 to 24</t>
  </si>
  <si>
    <t xml:space="preserve">ריבית </t>
  </si>
  <si>
    <t>ריבית</t>
  </si>
  <si>
    <t xml:space="preserve">תשובה א נכונה: </t>
  </si>
  <si>
    <t>תשלום קבוע במיכליטוס</t>
  </si>
  <si>
    <t>סך כל התשלומים</t>
  </si>
  <si>
    <t>סך תשלומי הריבית</t>
  </si>
  <si>
    <t>תשובה ב לא נכונה: אם סך תשלומי הריבית במיכליטוס מסתכם בכ- 287,774 ₪, הרי שברוניוס סך תשלומי הריבית מסתכמים בפחות מסכום זה.</t>
  </si>
  <si>
    <t xml:space="preserve">תשובה ג לא נכונה: אם יבחרו במיכליטוס, הרי שיתרת החוב לאחר 5 שנים תהיה </t>
  </si>
  <si>
    <t>תשובה ד לא נכונה: אם יבחרו ברוניוס, הרי שמרכיב הריבית בתשלום ה- 50 יהיה</t>
  </si>
  <si>
    <t>סכום חודשי קבוע להפקדה</t>
  </si>
  <si>
    <t>שווי עתידי לאחר הצמדה</t>
  </si>
  <si>
    <t>שווי דירה בעוד 5 שנים</t>
  </si>
  <si>
    <t>שווי הדירה היום</t>
  </si>
  <si>
    <t>סכום שיחסר</t>
  </si>
  <si>
    <t>ריבית ל- 4 חודשים</t>
  </si>
  <si>
    <t xml:space="preserve">תשובה ה לא נכונה: אם יבחרו במיכליטוס, הרי שמרכיב הקרן בתשלום 18 יהיה </t>
  </si>
  <si>
    <t>מספר תשלום</t>
  </si>
  <si>
    <t>יתרת חוב התחלה</t>
  </si>
  <si>
    <t>קרן</t>
  </si>
  <si>
    <t>סך תשלום</t>
  </si>
  <si>
    <t>יתרת חוב סוף</t>
  </si>
  <si>
    <t>מספר משיכות בפנסיה</t>
  </si>
  <si>
    <t>סכום משיכות בפנסיה</t>
  </si>
  <si>
    <t>נחשב את הסכום שערן צריך לצבור עד גיל 75</t>
  </si>
  <si>
    <t>Type</t>
  </si>
  <si>
    <t>מספר הפקדות לפנסיה</t>
  </si>
  <si>
    <t>סכום הפקדה</t>
  </si>
  <si>
    <t>סכום כעבור שנה</t>
  </si>
  <si>
    <t>נחשב תחילה את הריבית השנתית התוכנית החיסכון</t>
  </si>
  <si>
    <t>סכום עתידי רצוי</t>
  </si>
  <si>
    <t>נחשב כעת את מספר השנים הנוספות שיעברו עד השגת 80,000 ₪</t>
  </si>
  <si>
    <t>נחשב את סכום ההפקדה הרבעוני הנדרש לתוכנית החיסכון</t>
  </si>
  <si>
    <t>תשלום מיידי</t>
  </si>
  <si>
    <t>תשלום בעוד רבעון</t>
  </si>
  <si>
    <t>FV1</t>
  </si>
  <si>
    <t>תשלום בעוד שני רבעונים</t>
  </si>
  <si>
    <t>FV2</t>
  </si>
  <si>
    <t>תשלום בעוד 3 רבעונים</t>
  </si>
  <si>
    <t>FV3</t>
  </si>
  <si>
    <t>תשלום בעוד 4 רבעונים</t>
  </si>
  <si>
    <t>FV4</t>
  </si>
  <si>
    <t>ריבית אקפקטיבית שנתית</t>
  </si>
  <si>
    <t>ערך נוכחי של תשלום בעוד רבעון</t>
  </si>
  <si>
    <t>ערך נוכחי של תשלום בעוד שני רבעונים</t>
  </si>
  <si>
    <t>ערך נוכחי של תשלום בעוד שלושה רבעונים</t>
  </si>
  <si>
    <t>ערך נוכחי של תשלום בעוד ארבעה רבעונים</t>
  </si>
  <si>
    <t>תשלום מיידי מקסימאלי אותו ענבל הייתה מוכנה לשלם</t>
  </si>
  <si>
    <t>הפקדות חודשיות</t>
  </si>
  <si>
    <t>חמש עשרה שנים ראשונות:</t>
  </si>
  <si>
    <t>שנים</t>
  </si>
  <si>
    <t>חמש השנים הבאות:</t>
  </si>
  <si>
    <t>משיכות חודשיות</t>
  </si>
  <si>
    <t>עשר שנים נוספות:</t>
  </si>
  <si>
    <t>ערך עתידי</t>
  </si>
  <si>
    <t xml:space="preserve">FV (180) = </t>
  </si>
  <si>
    <t>של חמש עשרה שנים ראשונות - לזמן 180</t>
  </si>
  <si>
    <t xml:space="preserve">FV (240) = </t>
  </si>
  <si>
    <t>של חמש עשרה שנים ראשונות - לזמן 240 = תום המשיכות</t>
  </si>
  <si>
    <t xml:space="preserve">FV (360) = </t>
  </si>
  <si>
    <t>של חמש עשרה שנים ראשונות - לזמן 360</t>
  </si>
  <si>
    <t>של חמש השנים הבאות - משיכות - 60 תקופות מזמן 181 ועד 240</t>
  </si>
  <si>
    <t>של חמש השנים הבאות - משיכות - לזמן 360</t>
  </si>
  <si>
    <t>של עשר השנים הנוספות</t>
  </si>
  <si>
    <t>סה"כ:</t>
  </si>
  <si>
    <t>שאלה 19</t>
  </si>
  <si>
    <t>שאלה 20</t>
  </si>
  <si>
    <t>סכום הלוואה</t>
  </si>
  <si>
    <t>מענק שיתקבל בעוד 8 חודשים</t>
  </si>
  <si>
    <t>תקופת הלוואה בחודשים</t>
  </si>
  <si>
    <t>דמי פתיחת תיק</t>
  </si>
  <si>
    <t>דמי סגירת תיק</t>
  </si>
  <si>
    <t>סכום שיוחזר לבנק בתום 8 חודשים</t>
  </si>
  <si>
    <t>סכום שילקח מהבנק היום</t>
  </si>
  <si>
    <t>ריבית אפקטיבית ל-8 חודשים</t>
  </si>
  <si>
    <t>כן, המענק שתקבל אודליה (140,000 ש"ח) יספיק על מנת להחזיר את ההלוואה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</si>
</sst>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4">
    <numFmt numFmtId="8" formatCode="&quot;₪&quot;#,##0.00;[Red]\-&quot;₪&quot;#,##0.00"/>
    <numFmt numFmtId="164" formatCode="&quot;₪&quot;\ #,##0.00;[Red]&quot;₪&quot;\ \-#,##0.00"/>
    <numFmt numFmtId="165" formatCode="_ &quot;₪&quot;\ * #,##0.00_ ;_ &quot;₪&quot;\ * \-#,##0.00_ ;_ &quot;₪&quot;\ * &quot;-&quot;??_ ;_ @_ "/>
    <numFmt numFmtId="166" formatCode="_ * #,##0.00_ ;_ * \-#,##0.00_ ;_ * &quot;-&quot;??_ ;_ @_ "/>
    <numFmt numFmtId="167" formatCode="#,##0.00&quot;₪&quot;;[Red]\-#,##0.00&quot;₪&quot;"/>
    <numFmt numFmtId="168" formatCode="0.0%"/>
    <numFmt numFmtId="169" formatCode="0.000%"/>
    <numFmt numFmtId="170" formatCode="0.0000%"/>
    <numFmt numFmtId="171" formatCode="#,##0.00_ ;[Red]\-#,##0.00\ "/>
    <numFmt numFmtId="172" formatCode="#,##0_ ;[Red]\-#,##0\ "/>
    <numFmt numFmtId="173" formatCode="_ [$₪-40D]\ * #,##0.00_ ;_ [$₪-40D]\ * \-#,##0.00_ ;_ [$₪-40D]\ * &quot;-&quot;??_ ;_ @_ "/>
    <numFmt numFmtId="174" formatCode="_ * #,##0_ ;_ * \-#,##0_ ;_ * &quot;-&quot;??_ ;_ @_ "/>
    <numFmt numFmtId="175" formatCode="#,##0.00_ ;\-#,##0.00\ "/>
    <numFmt numFmtId="176" formatCode="#,##0_ ;\-#,##0\ "/>
  </numFmts>
  <fonts count="14" x14ac:knownFonts="1">
    <font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  <charset val="177"/>
      <scheme val="minor"/>
    </font>
    <font>
      <sz val="12"/>
      <color theme="1"/>
      <name val="Calibri"/>
      <family val="2"/>
    </font>
    <font>
      <sz val="11"/>
      <color rgb="FF000000"/>
      <name val="Arial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sz val="12"/>
      <name val="Calibri"/>
      <family val="2"/>
    </font>
    <font>
      <b/>
      <sz val="12"/>
      <color rgb="FFFF0000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92">
    <xf numFmtId="0" fontId="0" fillId="0" borderId="0" xfId="0"/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>
      <alignment horizontal="center"/>
    </xf>
    <xf numFmtId="168" fontId="2" fillId="0" borderId="0" xfId="0" applyNumberFormat="1" applyFont="1"/>
    <xf numFmtId="10" fontId="2" fillId="0" borderId="0" xfId="0" applyNumberFormat="1" applyFont="1"/>
    <xf numFmtId="3" fontId="2" fillId="0" borderId="0" xfId="0" applyNumberFormat="1" applyFont="1"/>
    <xf numFmtId="10" fontId="4" fillId="3" borderId="0" xfId="0" applyNumberFormat="1" applyFont="1" applyFill="1"/>
    <xf numFmtId="10" fontId="2" fillId="0" borderId="0" xfId="1" applyNumberFormat="1" applyFont="1"/>
    <xf numFmtId="0" fontId="5" fillId="0" borderId="0" xfId="0" applyFont="1"/>
    <xf numFmtId="0" fontId="2" fillId="3" borderId="0" xfId="0" applyFont="1" applyFill="1"/>
    <xf numFmtId="174" fontId="4" fillId="0" borderId="0" xfId="3" applyNumberFormat="1" applyFont="1" applyFill="1" applyAlignment="1">
      <alignment horizontal="center"/>
    </xf>
    <xf numFmtId="0" fontId="6" fillId="0" borderId="0" xfId="0" applyFont="1"/>
    <xf numFmtId="0" fontId="2" fillId="0" borderId="0" xfId="0" applyFont="1" applyAlignment="1">
      <alignment horizontal="right"/>
    </xf>
    <xf numFmtId="9" fontId="2" fillId="0" borderId="0" xfId="0" applyNumberFormat="1" applyFont="1" applyAlignment="1">
      <alignment horizontal="right"/>
    </xf>
    <xf numFmtId="10" fontId="2" fillId="0" borderId="0" xfId="0" applyNumberFormat="1" applyFont="1" applyAlignment="1">
      <alignment horizontal="right"/>
    </xf>
    <xf numFmtId="174" fontId="2" fillId="0" borderId="0" xfId="0" applyNumberFormat="1" applyFont="1" applyAlignment="1">
      <alignment horizontal="right"/>
    </xf>
    <xf numFmtId="174" fontId="7" fillId="3" borderId="0" xfId="0" applyNumberFormat="1" applyFont="1" applyFill="1"/>
    <xf numFmtId="164" fontId="4" fillId="3" borderId="0" xfId="0" applyNumberFormat="1" applyFont="1" applyFill="1"/>
    <xf numFmtId="169" fontId="2" fillId="0" borderId="0" xfId="3" applyNumberFormat="1" applyFont="1"/>
    <xf numFmtId="10" fontId="2" fillId="0" borderId="0" xfId="3" applyNumberFormat="1" applyFont="1"/>
    <xf numFmtId="174" fontId="2" fillId="0" borderId="0" xfId="3" applyNumberFormat="1" applyFont="1"/>
    <xf numFmtId="1" fontId="2" fillId="0" borderId="0" xfId="1" applyNumberFormat="1" applyFont="1"/>
    <xf numFmtId="168" fontId="2" fillId="0" borderId="0" xfId="1" applyNumberFormat="1" applyFont="1" applyAlignment="1">
      <alignment horizontal="center"/>
    </xf>
    <xf numFmtId="175" fontId="4" fillId="3" borderId="0" xfId="3" applyNumberFormat="1" applyFont="1" applyFill="1"/>
    <xf numFmtId="174" fontId="4" fillId="0" borderId="0" xfId="3" applyNumberFormat="1" applyFont="1" applyAlignment="1">
      <alignment horizontal="center"/>
    </xf>
    <xf numFmtId="174" fontId="2" fillId="0" borderId="0" xfId="0" applyNumberFormat="1" applyFont="1"/>
    <xf numFmtId="10" fontId="4" fillId="0" borderId="0" xfId="0" applyNumberFormat="1" applyFont="1"/>
    <xf numFmtId="167" fontId="8" fillId="3" borderId="0" xfId="0" applyNumberFormat="1" applyFont="1" applyFill="1"/>
    <xf numFmtId="167" fontId="8" fillId="0" borderId="0" xfId="0" applyNumberFormat="1" applyFont="1"/>
    <xf numFmtId="168" fontId="2" fillId="0" borderId="0" xfId="1" applyNumberFormat="1" applyFont="1"/>
    <xf numFmtId="9" fontId="2" fillId="0" borderId="0" xfId="0" applyNumberFormat="1" applyFont="1"/>
    <xf numFmtId="164" fontId="2" fillId="0" borderId="0" xfId="0" applyNumberFormat="1" applyFont="1"/>
    <xf numFmtId="164" fontId="2" fillId="3" borderId="0" xfId="0" applyNumberFormat="1" applyFont="1" applyFill="1"/>
    <xf numFmtId="3" fontId="2" fillId="0" borderId="0" xfId="1" applyNumberFormat="1" applyFont="1"/>
    <xf numFmtId="169" fontId="2" fillId="0" borderId="0" xfId="0" applyNumberFormat="1" applyFont="1"/>
    <xf numFmtId="0" fontId="4" fillId="0" borderId="0" xfId="0" applyFont="1"/>
    <xf numFmtId="169" fontId="2" fillId="0" borderId="0" xfId="1" applyNumberFormat="1" applyFont="1" applyBorder="1"/>
    <xf numFmtId="0" fontId="9" fillId="0" borderId="0" xfId="0" applyFont="1"/>
    <xf numFmtId="10" fontId="9" fillId="0" borderId="0" xfId="0" applyNumberFormat="1" applyFont="1"/>
    <xf numFmtId="0" fontId="2" fillId="0" borderId="1" xfId="0" applyFont="1" applyBorder="1"/>
    <xf numFmtId="170" fontId="2" fillId="0" borderId="0" xfId="1" applyNumberFormat="1" applyFont="1" applyBorder="1"/>
    <xf numFmtId="0" fontId="10" fillId="3" borderId="1" xfId="0" applyFont="1" applyFill="1" applyBorder="1"/>
    <xf numFmtId="0" fontId="10" fillId="3" borderId="0" xfId="0" applyFont="1" applyFill="1"/>
    <xf numFmtId="171" fontId="2" fillId="0" borderId="0" xfId="0" applyNumberFormat="1" applyFont="1"/>
    <xf numFmtId="8" fontId="2" fillId="0" borderId="0" xfId="0" applyNumberFormat="1" applyFont="1"/>
    <xf numFmtId="172" fontId="2" fillId="0" borderId="0" xfId="0" applyNumberFormat="1" applyFont="1"/>
    <xf numFmtId="4" fontId="4" fillId="3" borderId="0" xfId="0" applyNumberFormat="1" applyFont="1" applyFill="1"/>
    <xf numFmtId="173" fontId="2" fillId="0" borderId="0" xfId="0" applyNumberFormat="1" applyFont="1"/>
    <xf numFmtId="164" fontId="10" fillId="3" borderId="0" xfId="0" applyNumberFormat="1" applyFont="1" applyFill="1"/>
    <xf numFmtId="173" fontId="2" fillId="0" borderId="0" xfId="4" applyNumberFormat="1" applyFont="1"/>
    <xf numFmtId="174" fontId="4" fillId="0" borderId="0" xfId="3" applyNumberFormat="1" applyFont="1" applyFill="1" applyAlignment="1">
      <alignment horizontal="right"/>
    </xf>
    <xf numFmtId="10" fontId="9" fillId="3" borderId="0" xfId="1" applyNumberFormat="1" applyFont="1" applyFill="1" applyBorder="1"/>
    <xf numFmtId="10" fontId="9" fillId="0" borderId="0" xfId="1" applyNumberFormat="1" applyFont="1" applyBorder="1"/>
    <xf numFmtId="10" fontId="10" fillId="3" borderId="0" xfId="1" applyNumberFormat="1" applyFont="1" applyFill="1" applyBorder="1"/>
    <xf numFmtId="10" fontId="2" fillId="0" borderId="0" xfId="1" applyNumberFormat="1" applyFont="1" applyBorder="1"/>
    <xf numFmtId="171" fontId="4" fillId="0" borderId="0" xfId="0" applyNumberFormat="1" applyFont="1"/>
    <xf numFmtId="176" fontId="2" fillId="0" borderId="0" xfId="0" applyNumberFormat="1" applyFont="1"/>
    <xf numFmtId="0" fontId="10" fillId="0" borderId="1" xfId="0" applyFont="1" applyBorder="1"/>
    <xf numFmtId="164" fontId="10" fillId="0" borderId="0" xfId="0" applyNumberFormat="1" applyFont="1"/>
    <xf numFmtId="175" fontId="2" fillId="0" borderId="0" xfId="0" applyNumberFormat="1" applyFont="1"/>
    <xf numFmtId="8" fontId="4" fillId="3" borderId="0" xfId="0" applyNumberFormat="1" applyFont="1" applyFill="1"/>
    <xf numFmtId="2" fontId="2" fillId="0" borderId="0" xfId="0" applyNumberFormat="1" applyFont="1"/>
    <xf numFmtId="0" fontId="2" fillId="2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69" fontId="4" fillId="3" borderId="0" xfId="3" applyNumberFormat="1" applyFont="1" applyFill="1"/>
    <xf numFmtId="0" fontId="2" fillId="0" borderId="0" xfId="0" applyFont="1" applyFill="1"/>
    <xf numFmtId="10" fontId="2" fillId="0" borderId="0" xfId="0" applyNumberFormat="1" applyFont="1" applyFill="1"/>
    <xf numFmtId="10" fontId="2" fillId="0" borderId="0" xfId="1" applyNumberFormat="1" applyFont="1" applyFill="1"/>
    <xf numFmtId="0" fontId="4" fillId="0" borderId="0" xfId="0" applyFont="1" applyFill="1" applyAlignment="1">
      <alignment horizontal="right"/>
    </xf>
    <xf numFmtId="0" fontId="2" fillId="0" borderId="0" xfId="0" applyFont="1" applyFill="1" applyAlignment="1">
      <alignment vertical="top"/>
    </xf>
    <xf numFmtId="169" fontId="2" fillId="0" borderId="0" xfId="0" applyNumberFormat="1" applyFont="1" applyFill="1"/>
    <xf numFmtId="3" fontId="2" fillId="0" borderId="0" xfId="0" applyNumberFormat="1" applyFont="1" applyFill="1"/>
    <xf numFmtId="9" fontId="2" fillId="0" borderId="0" xfId="0" applyNumberFormat="1" applyFont="1" applyFill="1"/>
    <xf numFmtId="1" fontId="2" fillId="0" borderId="0" xfId="0" applyNumberFormat="1" applyFont="1" applyFill="1"/>
    <xf numFmtId="0" fontId="2" fillId="0" borderId="0" xfId="0" applyFont="1" applyFill="1" applyAlignment="1">
      <alignment horizontal="right" vertical="top"/>
    </xf>
    <xf numFmtId="1" fontId="2" fillId="0" borderId="0" xfId="1" applyNumberFormat="1" applyFont="1" applyFill="1"/>
    <xf numFmtId="2" fontId="4" fillId="3" borderId="0" xfId="0" applyNumberFormat="1" applyFont="1" applyFill="1"/>
    <xf numFmtId="3" fontId="2" fillId="3" borderId="0" xfId="0" applyNumberFormat="1" applyFont="1" applyFill="1"/>
    <xf numFmtId="3" fontId="4" fillId="3" borderId="0" xfId="0" applyNumberFormat="1" applyFont="1" applyFill="1"/>
    <xf numFmtId="0" fontId="0" fillId="0" borderId="0" xfId="0" applyAlignment="1">
      <alignment horizontal="center"/>
    </xf>
    <xf numFmtId="3" fontId="0" fillId="0" borderId="0" xfId="0" applyNumberFormat="1"/>
    <xf numFmtId="0" fontId="11" fillId="0" borderId="0" xfId="0" applyFont="1"/>
    <xf numFmtId="10" fontId="0" fillId="0" borderId="0" xfId="0" applyNumberFormat="1"/>
    <xf numFmtId="4" fontId="0" fillId="0" borderId="0" xfId="0" applyNumberFormat="1"/>
    <xf numFmtId="0" fontId="12" fillId="0" borderId="0" xfId="0" applyFont="1"/>
    <xf numFmtId="4" fontId="11" fillId="3" borderId="0" xfId="0" applyNumberFormat="1" applyFont="1" applyFill="1"/>
    <xf numFmtId="0" fontId="13" fillId="0" borderId="0" xfId="0" applyFont="1"/>
    <xf numFmtId="164" fontId="0" fillId="0" borderId="0" xfId="0" applyNumberFormat="1"/>
    <xf numFmtId="164" fontId="0" fillId="4" borderId="0" xfId="0" applyNumberFormat="1" applyFill="1"/>
    <xf numFmtId="164" fontId="11" fillId="5" borderId="0" xfId="0" applyNumberFormat="1" applyFont="1" applyFill="1"/>
    <xf numFmtId="0" fontId="4" fillId="3" borderId="0" xfId="0" applyFont="1" applyFill="1"/>
  </cellXfs>
  <cellStyles count="5">
    <cellStyle name="Comma" xfId="3" builtinId="3"/>
    <cellStyle name="Currency" xfId="4" builtinId="4"/>
    <cellStyle name="Normal" xfId="0" builtinId="0"/>
    <cellStyle name="Normal 2" xfId="2" xr:uid="{0A315A74-E923-4FCA-B19F-81CC704EBCE5}"/>
    <cellStyle name="Percent" xfId="1" builtinId="5"/>
  </cellStyles>
  <dxfs count="0"/>
  <tableStyles count="1" defaultTableStyle="TableStyleMedium2" defaultPivotStyle="PivotStyleLight16">
    <tableStyle name="Invisible" pivot="0" table="0" count="0" xr9:uid="{47282F54-19A4-4472-9715-F88F084B359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285750</xdr:colOff>
      <xdr:row>123</xdr:row>
      <xdr:rowOff>114300</xdr:rowOff>
    </xdr:from>
    <xdr:to>
      <xdr:col>16</xdr:col>
      <xdr:colOff>76200</xdr:colOff>
      <xdr:row>123</xdr:row>
      <xdr:rowOff>123825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54C002BD-454A-7972-6B7F-DAEF1985BDFD}"/>
            </a:ext>
          </a:extLst>
        </xdr:cNvPr>
        <xdr:cNvCxnSpPr/>
      </xdr:nvCxnSpPr>
      <xdr:spPr>
        <a:xfrm flipH="1" flipV="1">
          <a:off x="9510293400" y="24717375"/>
          <a:ext cx="666750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285750</xdr:colOff>
      <xdr:row>124</xdr:row>
      <xdr:rowOff>123825</xdr:rowOff>
    </xdr:from>
    <xdr:to>
      <xdr:col>16</xdr:col>
      <xdr:colOff>76200</xdr:colOff>
      <xdr:row>124</xdr:row>
      <xdr:rowOff>133350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9735F12A-69F4-4219-B1E4-48C07BDBA0CF}"/>
            </a:ext>
          </a:extLst>
        </xdr:cNvPr>
        <xdr:cNvCxnSpPr/>
      </xdr:nvCxnSpPr>
      <xdr:spPr>
        <a:xfrm flipH="1" flipV="1">
          <a:off x="9510293400" y="24926925"/>
          <a:ext cx="666750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285750</xdr:colOff>
      <xdr:row>125</xdr:row>
      <xdr:rowOff>133350</xdr:rowOff>
    </xdr:from>
    <xdr:to>
      <xdr:col>16</xdr:col>
      <xdr:colOff>76200</xdr:colOff>
      <xdr:row>125</xdr:row>
      <xdr:rowOff>142875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BA51BCB5-92A7-495A-9F35-120B418FB779}"/>
            </a:ext>
          </a:extLst>
        </xdr:cNvPr>
        <xdr:cNvCxnSpPr/>
      </xdr:nvCxnSpPr>
      <xdr:spPr>
        <a:xfrm flipH="1" flipV="1">
          <a:off x="9510293400" y="25136475"/>
          <a:ext cx="666750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E2E84-D902-4103-ADBF-0916C2BDD0A0}">
  <dimension ref="A1:T270"/>
  <sheetViews>
    <sheetView rightToLeft="1" tabSelected="1" topLeftCell="A242" workbookViewId="0">
      <selection activeCell="L260" sqref="L260"/>
    </sheetView>
  </sheetViews>
  <sheetFormatPr defaultColWidth="8.7109375" defaultRowHeight="15.75" x14ac:dyDescent="0.25"/>
  <cols>
    <col min="1" max="1" width="28.42578125" style="1" customWidth="1"/>
    <col min="2" max="2" width="24.42578125" style="1" customWidth="1"/>
    <col min="3" max="3" width="22.28515625" style="1" customWidth="1"/>
    <col min="4" max="4" width="15" style="1" customWidth="1"/>
    <col min="5" max="5" width="17" style="1" customWidth="1"/>
    <col min="6" max="7" width="8.7109375" style="1"/>
    <col min="8" max="8" width="11.28515625" style="1" customWidth="1"/>
    <col min="9" max="9" width="8.7109375" style="1"/>
    <col min="10" max="10" width="9" style="1" bestFit="1" customWidth="1"/>
    <col min="11" max="11" width="3.28515625" style="1" customWidth="1"/>
    <col min="12" max="12" width="10.7109375" style="1" bestFit="1" customWidth="1"/>
    <col min="13" max="13" width="1.85546875" style="1" customWidth="1"/>
    <col min="14" max="14" width="8.7109375" style="1"/>
    <col min="15" max="15" width="6.85546875" style="1" customWidth="1"/>
    <col min="16" max="16" width="13.140625" style="1" bestFit="1" customWidth="1"/>
    <col min="17" max="17" width="2.140625" style="1" customWidth="1"/>
    <col min="18" max="18" width="13.140625" style="1" bestFit="1" customWidth="1"/>
    <col min="19" max="19" width="8.7109375" style="1"/>
    <col min="20" max="20" width="13.140625" style="1" bestFit="1" customWidth="1"/>
    <col min="21" max="16384" width="8.7109375" style="1"/>
  </cols>
  <sheetData>
    <row r="1" spans="1:10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</row>
    <row r="2" spans="1:10" x14ac:dyDescent="0.25">
      <c r="A2" s="63" t="s">
        <v>19</v>
      </c>
      <c r="B2" s="63"/>
      <c r="C2" s="63"/>
      <c r="D2" s="63"/>
      <c r="E2" s="63"/>
      <c r="F2" s="63"/>
      <c r="G2" s="63"/>
      <c r="H2" s="63"/>
      <c r="I2" s="63"/>
      <c r="J2" s="63"/>
    </row>
    <row r="3" spans="1:10" x14ac:dyDescent="0.25">
      <c r="A3" s="1" t="s">
        <v>2</v>
      </c>
      <c r="B3" s="1" t="s">
        <v>124</v>
      </c>
    </row>
    <row r="4" spans="1:10" x14ac:dyDescent="0.25">
      <c r="A4" s="28">
        <f>PV(A8,A7,-A6,A5)</f>
        <v>62264.621749529339</v>
      </c>
      <c r="B4" s="29">
        <f>PV(B8,B7,-B6)</f>
        <v>44796.32825267515</v>
      </c>
      <c r="C4" s="1" t="s">
        <v>3</v>
      </c>
    </row>
    <row r="5" spans="1:10" x14ac:dyDescent="0.25">
      <c r="A5" s="1">
        <f>-B4</f>
        <v>-44796.32825267515</v>
      </c>
      <c r="C5" s="1" t="s">
        <v>4</v>
      </c>
    </row>
    <row r="6" spans="1:10" x14ac:dyDescent="0.25">
      <c r="A6" s="1">
        <v>2000</v>
      </c>
      <c r="B6" s="1">
        <v>8000</v>
      </c>
      <c r="C6" s="1" t="s">
        <v>5</v>
      </c>
    </row>
    <row r="7" spans="1:10" x14ac:dyDescent="0.25">
      <c r="A7" s="1">
        <v>12</v>
      </c>
      <c r="B7" s="1">
        <v>6</v>
      </c>
      <c r="C7" s="1" t="s">
        <v>6</v>
      </c>
    </row>
    <row r="8" spans="1:10" x14ac:dyDescent="0.25">
      <c r="A8" s="8">
        <v>0.01</v>
      </c>
      <c r="B8" s="8">
        <f>(1+A8)^2-1</f>
        <v>2.0100000000000007E-2</v>
      </c>
      <c r="C8" s="1" t="s">
        <v>7</v>
      </c>
    </row>
    <row r="10" spans="1:10" x14ac:dyDescent="0.25">
      <c r="A10" s="63" t="s">
        <v>20</v>
      </c>
      <c r="B10" s="63"/>
      <c r="C10" s="63"/>
      <c r="D10" s="63"/>
      <c r="E10" s="63"/>
      <c r="F10" s="63"/>
      <c r="G10" s="63"/>
      <c r="H10" s="63"/>
      <c r="I10" s="63"/>
      <c r="J10" s="63"/>
    </row>
    <row r="11" spans="1:10" x14ac:dyDescent="0.25">
      <c r="A11" s="1">
        <v>8</v>
      </c>
      <c r="B11" s="1" t="s">
        <v>8</v>
      </c>
    </row>
    <row r="12" spans="1:10" x14ac:dyDescent="0.25">
      <c r="A12" s="30">
        <f>(1+10%)^3-1</f>
        <v>0.33100000000000041</v>
      </c>
      <c r="B12" s="1" t="s">
        <v>9</v>
      </c>
      <c r="C12" s="1" t="s">
        <v>10</v>
      </c>
    </row>
    <row r="13" spans="1:10" x14ac:dyDescent="0.25">
      <c r="A13" s="31">
        <v>0.1</v>
      </c>
      <c r="B13" s="1" t="s">
        <v>9</v>
      </c>
      <c r="C13" s="1" t="s">
        <v>11</v>
      </c>
    </row>
    <row r="14" spans="1:10" x14ac:dyDescent="0.25">
      <c r="A14" s="1">
        <v>500</v>
      </c>
      <c r="B14" s="1" t="s">
        <v>12</v>
      </c>
    </row>
    <row r="15" spans="1:10" x14ac:dyDescent="0.25">
      <c r="A15" s="32">
        <f>PV(A12,A11,-A14)</f>
        <v>1357.2120876211911</v>
      </c>
      <c r="B15" s="1" t="s">
        <v>13</v>
      </c>
      <c r="C15" s="1" t="s">
        <v>14</v>
      </c>
    </row>
    <row r="16" spans="1:10" x14ac:dyDescent="0.25">
      <c r="A16" s="33">
        <f>FV(A13,2,0,-A15)</f>
        <v>1642.2266260216416</v>
      </c>
      <c r="B16" s="1" t="s">
        <v>13</v>
      </c>
      <c r="C16" s="1">
        <v>0</v>
      </c>
    </row>
    <row r="17" spans="1:10" x14ac:dyDescent="0.25">
      <c r="A17" s="63" t="s">
        <v>21</v>
      </c>
      <c r="B17" s="63"/>
      <c r="C17" s="63"/>
      <c r="D17" s="63"/>
      <c r="E17" s="63"/>
      <c r="F17" s="63"/>
      <c r="G17" s="63"/>
      <c r="H17" s="63"/>
      <c r="I17" s="63"/>
      <c r="J17" s="63"/>
    </row>
    <row r="18" spans="1:10" x14ac:dyDescent="0.25">
      <c r="A18" s="1" t="s">
        <v>15</v>
      </c>
      <c r="C18" s="1" t="s">
        <v>16</v>
      </c>
    </row>
    <row r="19" spans="1:10" x14ac:dyDescent="0.25">
      <c r="A19" s="6">
        <v>170000</v>
      </c>
      <c r="B19" s="1" t="s">
        <v>13</v>
      </c>
      <c r="C19" s="1">
        <f>10%*A19</f>
        <v>17000</v>
      </c>
      <c r="D19" s="1" t="s">
        <v>17</v>
      </c>
    </row>
    <row r="20" spans="1:10" x14ac:dyDescent="0.25">
      <c r="C20" s="6">
        <v>3000</v>
      </c>
      <c r="D20" s="1" t="s">
        <v>12</v>
      </c>
    </row>
    <row r="21" spans="1:10" x14ac:dyDescent="0.25">
      <c r="A21" s="1" t="s">
        <v>18</v>
      </c>
      <c r="C21" s="1">
        <f>5*12</f>
        <v>60</v>
      </c>
      <c r="D21" s="1" t="s">
        <v>8</v>
      </c>
    </row>
    <row r="22" spans="1:10" x14ac:dyDescent="0.25">
      <c r="A22" s="33">
        <f>A19-C23</f>
        <v>25769.328027815296</v>
      </c>
      <c r="C22" s="8">
        <f>(1+12.68%)^(1/12)-1</f>
        <v>9.9981303892207052E-3</v>
      </c>
      <c r="D22" s="1" t="s">
        <v>9</v>
      </c>
    </row>
    <row r="23" spans="1:10" x14ac:dyDescent="0.25">
      <c r="C23" s="32">
        <f>PV(C22,C21,-C20,-C19)</f>
        <v>144230.6719721847</v>
      </c>
      <c r="D23" s="1" t="s">
        <v>13</v>
      </c>
    </row>
    <row r="25" spans="1:10" x14ac:dyDescent="0.25">
      <c r="A25" s="63" t="s">
        <v>22</v>
      </c>
      <c r="B25" s="63"/>
      <c r="C25" s="63"/>
      <c r="D25" s="63"/>
      <c r="E25" s="63"/>
      <c r="F25" s="63"/>
      <c r="G25" s="63"/>
      <c r="H25" s="63"/>
      <c r="I25" s="63"/>
      <c r="J25" s="63"/>
    </row>
    <row r="26" spans="1:10" x14ac:dyDescent="0.25">
      <c r="A26" s="32" t="s">
        <v>151</v>
      </c>
      <c r="B26" s="46">
        <v>50000</v>
      </c>
      <c r="C26" s="32" t="s">
        <v>153</v>
      </c>
    </row>
    <row r="27" spans="1:10" x14ac:dyDescent="0.25">
      <c r="A27" s="1" t="s">
        <v>152</v>
      </c>
      <c r="B27" s="6">
        <v>52000</v>
      </c>
      <c r="C27" s="32"/>
    </row>
    <row r="28" spans="1:10" x14ac:dyDescent="0.25">
      <c r="A28" s="5" t="s">
        <v>110</v>
      </c>
      <c r="B28" s="34">
        <v>1</v>
      </c>
      <c r="C28" s="5">
        <f>RATE(B28,,-B26,B27)</f>
        <v>3.9999999999999952E-2</v>
      </c>
    </row>
    <row r="29" spans="1:10" x14ac:dyDescent="0.25">
      <c r="B29" s="8"/>
      <c r="C29" s="8"/>
    </row>
    <row r="31" spans="1:10" x14ac:dyDescent="0.25">
      <c r="A31" s="1" t="s">
        <v>154</v>
      </c>
      <c r="B31" s="6">
        <v>80000</v>
      </c>
      <c r="C31" s="1" t="s">
        <v>155</v>
      </c>
    </row>
    <row r="32" spans="1:10" x14ac:dyDescent="0.25">
      <c r="C32" s="32"/>
    </row>
    <row r="33" spans="1:10" x14ac:dyDescent="0.25">
      <c r="B33" s="32"/>
      <c r="C33" s="77">
        <f>NPER(C28,,-B27,B31)</f>
        <v>10.983556428688077</v>
      </c>
    </row>
    <row r="34" spans="1:10" x14ac:dyDescent="0.25">
      <c r="C34" s="6"/>
    </row>
    <row r="35" spans="1:10" x14ac:dyDescent="0.25">
      <c r="C35" s="35"/>
    </row>
    <row r="37" spans="1:10" x14ac:dyDescent="0.25">
      <c r="A37" s="63" t="s">
        <v>1</v>
      </c>
      <c r="B37" s="63"/>
      <c r="C37" s="63"/>
      <c r="D37" s="63"/>
      <c r="E37" s="63"/>
      <c r="F37" s="63"/>
      <c r="G37" s="63"/>
      <c r="H37" s="63"/>
      <c r="I37" s="63"/>
      <c r="J37" s="63"/>
    </row>
    <row r="38" spans="1:10" x14ac:dyDescent="0.25">
      <c r="A38" s="36" t="s">
        <v>15</v>
      </c>
    </row>
    <row r="39" spans="1:10" x14ac:dyDescent="0.25">
      <c r="A39" s="1" t="s">
        <v>23</v>
      </c>
      <c r="B39" s="31">
        <v>0.14000000000000001</v>
      </c>
    </row>
    <row r="40" spans="1:10" x14ac:dyDescent="0.25">
      <c r="A40" s="1" t="s">
        <v>24</v>
      </c>
      <c r="B40" s="1">
        <v>4</v>
      </c>
    </row>
    <row r="41" spans="1:10" x14ac:dyDescent="0.25">
      <c r="A41" s="1" t="s">
        <v>25</v>
      </c>
      <c r="B41" s="37">
        <f>B39/B40</f>
        <v>3.5000000000000003E-2</v>
      </c>
    </row>
    <row r="42" spans="1:10" x14ac:dyDescent="0.25">
      <c r="A42" s="38" t="s">
        <v>26</v>
      </c>
      <c r="B42" s="52">
        <f>(1+B41)^B40-1</f>
        <v>0.14752300062499968</v>
      </c>
    </row>
    <row r="44" spans="1:10" x14ac:dyDescent="0.25">
      <c r="A44" s="36" t="s">
        <v>15</v>
      </c>
    </row>
    <row r="45" spans="1:10" x14ac:dyDescent="0.25">
      <c r="A45" s="1" t="s">
        <v>27</v>
      </c>
      <c r="B45" s="5">
        <v>1.12E-2</v>
      </c>
    </row>
    <row r="46" spans="1:10" x14ac:dyDescent="0.25">
      <c r="A46" s="38" t="s">
        <v>28</v>
      </c>
      <c r="B46" s="53">
        <f>(1+B45)^12-1</f>
        <v>0.14299605449973818</v>
      </c>
    </row>
    <row r="48" spans="1:10" x14ac:dyDescent="0.25">
      <c r="A48" s="36" t="s">
        <v>29</v>
      </c>
    </row>
    <row r="49" spans="1:10" x14ac:dyDescent="0.25">
      <c r="A49" s="1" t="s">
        <v>30</v>
      </c>
      <c r="B49" s="5">
        <v>0.14149999999999999</v>
      </c>
    </row>
    <row r="50" spans="1:10" x14ac:dyDescent="0.25">
      <c r="A50" s="1" t="s">
        <v>31</v>
      </c>
      <c r="B50" s="1">
        <v>2</v>
      </c>
    </row>
    <row r="51" spans="1:10" x14ac:dyDescent="0.25">
      <c r="A51" s="1" t="s">
        <v>32</v>
      </c>
      <c r="B51" s="5">
        <f>B49/B50</f>
        <v>7.0749999999999993E-2</v>
      </c>
    </row>
    <row r="52" spans="1:10" x14ac:dyDescent="0.25">
      <c r="A52" s="38" t="s">
        <v>28</v>
      </c>
      <c r="B52" s="53">
        <f>(1+B51)^B50-1</f>
        <v>0.14650556250000024</v>
      </c>
    </row>
    <row r="54" spans="1:10" x14ac:dyDescent="0.25">
      <c r="A54" s="36" t="s">
        <v>33</v>
      </c>
    </row>
    <row r="55" spans="1:10" x14ac:dyDescent="0.25">
      <c r="A55" s="1" t="s">
        <v>34</v>
      </c>
      <c r="B55" s="31">
        <v>0.3</v>
      </c>
    </row>
    <row r="56" spans="1:10" x14ac:dyDescent="0.25">
      <c r="A56" s="38" t="s">
        <v>35</v>
      </c>
      <c r="B56" s="53">
        <f>(1+B55)^(1/2)-1</f>
        <v>0.14017542509913805</v>
      </c>
    </row>
    <row r="58" spans="1:10" x14ac:dyDescent="0.25">
      <c r="A58" s="36" t="s">
        <v>36</v>
      </c>
    </row>
    <row r="59" spans="1:10" x14ac:dyDescent="0.25">
      <c r="A59" s="38" t="s">
        <v>26</v>
      </c>
      <c r="B59" s="39">
        <v>0.14499999999999999</v>
      </c>
    </row>
    <row r="60" spans="1:10" x14ac:dyDescent="0.25">
      <c r="A60" s="63" t="s">
        <v>37</v>
      </c>
      <c r="B60" s="63"/>
      <c r="C60" s="63"/>
      <c r="D60" s="63"/>
      <c r="E60" s="63"/>
      <c r="F60" s="63"/>
      <c r="G60" s="63"/>
      <c r="H60" s="63"/>
      <c r="I60" s="63"/>
      <c r="J60" s="63"/>
    </row>
    <row r="61" spans="1:10" x14ac:dyDescent="0.25">
      <c r="A61" s="40" t="s">
        <v>38</v>
      </c>
      <c r="B61" s="1">
        <v>80000</v>
      </c>
    </row>
    <row r="62" spans="1:10" x14ac:dyDescent="0.25">
      <c r="A62" s="40" t="s">
        <v>30</v>
      </c>
      <c r="C62" s="31">
        <v>0.13</v>
      </c>
    </row>
    <row r="63" spans="1:10" x14ac:dyDescent="0.25">
      <c r="A63" s="40" t="s">
        <v>39</v>
      </c>
      <c r="C63" s="1">
        <v>12</v>
      </c>
    </row>
    <row r="64" spans="1:10" x14ac:dyDescent="0.25">
      <c r="A64" s="40" t="s">
        <v>40</v>
      </c>
      <c r="C64" s="55">
        <f>C62/C63</f>
        <v>1.0833333333333334E-2</v>
      </c>
    </row>
    <row r="65" spans="1:10" x14ac:dyDescent="0.25">
      <c r="A65" s="40" t="s">
        <v>28</v>
      </c>
      <c r="C65" s="55">
        <f>(1+C64)^C63-1</f>
        <v>0.1380324816138776</v>
      </c>
    </row>
    <row r="66" spans="1:10" x14ac:dyDescent="0.25">
      <c r="A66" s="40" t="s">
        <v>41</v>
      </c>
      <c r="C66" s="1">
        <v>158</v>
      </c>
    </row>
    <row r="67" spans="1:10" x14ac:dyDescent="0.25">
      <c r="A67" s="40" t="s">
        <v>42</v>
      </c>
      <c r="C67" s="1">
        <v>1000</v>
      </c>
    </row>
    <row r="68" spans="1:10" x14ac:dyDescent="0.25">
      <c r="A68" s="40" t="s">
        <v>43</v>
      </c>
      <c r="D68" s="44">
        <f>FV(C65,1,,-B61)-C67</f>
        <v>90042.598529110212</v>
      </c>
    </row>
    <row r="69" spans="1:10" x14ac:dyDescent="0.25">
      <c r="A69" s="40" t="s">
        <v>44</v>
      </c>
      <c r="D69" s="6">
        <f>B61-C66</f>
        <v>79842</v>
      </c>
    </row>
    <row r="70" spans="1:10" x14ac:dyDescent="0.25">
      <c r="A70" s="40"/>
    </row>
    <row r="71" spans="1:10" x14ac:dyDescent="0.25">
      <c r="A71" s="42" t="s">
        <v>45</v>
      </c>
      <c r="B71" s="43"/>
      <c r="C71" s="43"/>
      <c r="D71" s="54">
        <f>(D68/D69)-1</f>
        <v>0.12775980723316316</v>
      </c>
    </row>
    <row r="72" spans="1:10" x14ac:dyDescent="0.25">
      <c r="A72" s="63" t="s">
        <v>46</v>
      </c>
      <c r="B72" s="63"/>
      <c r="C72" s="63"/>
      <c r="D72" s="63"/>
      <c r="E72" s="63"/>
      <c r="F72" s="63"/>
      <c r="G72" s="63"/>
      <c r="H72" s="63"/>
      <c r="I72" s="63"/>
      <c r="J72" s="63"/>
    </row>
    <row r="73" spans="1:10" x14ac:dyDescent="0.25">
      <c r="C73" s="3"/>
      <c r="D73" s="6"/>
    </row>
    <row r="74" spans="1:10" x14ac:dyDescent="0.25">
      <c r="A74" t="s">
        <v>157</v>
      </c>
      <c r="B74"/>
      <c r="C74" s="80" t="s">
        <v>13</v>
      </c>
      <c r="D74" s="81">
        <v>65000</v>
      </c>
      <c r="E74"/>
    </row>
    <row r="75" spans="1:10" x14ac:dyDescent="0.25">
      <c r="A75" s="82" t="s">
        <v>158</v>
      </c>
      <c r="B75"/>
      <c r="C75" s="80" t="s">
        <v>159</v>
      </c>
      <c r="D75" s="81">
        <v>45000</v>
      </c>
      <c r="E75">
        <v>1</v>
      </c>
    </row>
    <row r="76" spans="1:10" x14ac:dyDescent="0.25">
      <c r="A76" t="s">
        <v>160</v>
      </c>
      <c r="B76"/>
      <c r="C76" s="80" t="s">
        <v>161</v>
      </c>
      <c r="D76" s="81">
        <v>35000</v>
      </c>
      <c r="E76">
        <v>2</v>
      </c>
    </row>
    <row r="77" spans="1:10" x14ac:dyDescent="0.25">
      <c r="A77" s="82" t="s">
        <v>162</v>
      </c>
      <c r="B77"/>
      <c r="C77" s="80" t="s">
        <v>163</v>
      </c>
      <c r="D77" s="81">
        <v>30000</v>
      </c>
      <c r="E77">
        <v>3</v>
      </c>
    </row>
    <row r="78" spans="1:10" x14ac:dyDescent="0.25">
      <c r="A78" t="s">
        <v>164</v>
      </c>
      <c r="B78"/>
      <c r="C78" s="80" t="s">
        <v>165</v>
      </c>
      <c r="D78" s="81">
        <v>21500</v>
      </c>
      <c r="E78">
        <v>4</v>
      </c>
    </row>
    <row r="79" spans="1:10" x14ac:dyDescent="0.25">
      <c r="A79" t="s">
        <v>166</v>
      </c>
      <c r="B79"/>
      <c r="C79" s="80" t="s">
        <v>48</v>
      </c>
      <c r="D79" s="83">
        <v>2.58E-2</v>
      </c>
      <c r="E79"/>
    </row>
    <row r="80" spans="1:10" x14ac:dyDescent="0.25">
      <c r="A80" t="s">
        <v>51</v>
      </c>
      <c r="B80"/>
      <c r="C80" s="80" t="s">
        <v>92</v>
      </c>
      <c r="D80" s="83">
        <f>(1+D79)^(1/4)-1</f>
        <v>6.3885190836927563E-3</v>
      </c>
      <c r="E80"/>
    </row>
    <row r="81" spans="1:10" x14ac:dyDescent="0.25">
      <c r="A81"/>
      <c r="B81"/>
      <c r="C81" s="80"/>
      <c r="D81" s="81"/>
      <c r="E81"/>
    </row>
    <row r="82" spans="1:10" x14ac:dyDescent="0.25">
      <c r="A82" t="s">
        <v>167</v>
      </c>
      <c r="B82"/>
      <c r="C82" s="80"/>
      <c r="D82" s="84">
        <f>PV(D80,E75,,-D75)</f>
        <v>44714.341575529972</v>
      </c>
      <c r="E82"/>
    </row>
    <row r="83" spans="1:10" x14ac:dyDescent="0.25">
      <c r="A83" t="s">
        <v>168</v>
      </c>
      <c r="B83"/>
      <c r="C83" s="80"/>
      <c r="D83" s="84">
        <f>PV(D80,E76,,-D76)</f>
        <v>34557.052833906608</v>
      </c>
      <c r="E83"/>
    </row>
    <row r="84" spans="1:10" x14ac:dyDescent="0.25">
      <c r="A84" t="s">
        <v>169</v>
      </c>
      <c r="B84"/>
      <c r="C84"/>
      <c r="D84" s="84">
        <f>PV(D80,E77,,-D77)</f>
        <v>29432.302176360681</v>
      </c>
      <c r="E84"/>
    </row>
    <row r="85" spans="1:10" x14ac:dyDescent="0.25">
      <c r="A85" t="s">
        <v>170</v>
      </c>
      <c r="B85"/>
      <c r="C85"/>
      <c r="D85" s="84">
        <f>PV(D80,E78,,-D78)</f>
        <v>20959.251316046015</v>
      </c>
      <c r="E85"/>
    </row>
    <row r="86" spans="1:10" x14ac:dyDescent="0.25">
      <c r="A86"/>
      <c r="B86"/>
      <c r="C86"/>
      <c r="D86" s="84"/>
      <c r="E86"/>
    </row>
    <row r="87" spans="1:10" x14ac:dyDescent="0.25">
      <c r="A87" s="85" t="s">
        <v>171</v>
      </c>
      <c r="B87"/>
      <c r="C87"/>
      <c r="D87" s="86">
        <f>SUM(D82:D85,D74)</f>
        <v>194662.94790184329</v>
      </c>
      <c r="E87"/>
    </row>
    <row r="88" spans="1:10" x14ac:dyDescent="0.25">
      <c r="D88" s="44"/>
    </row>
    <row r="89" spans="1:10" x14ac:dyDescent="0.25">
      <c r="D89" s="56"/>
    </row>
    <row r="90" spans="1:10" x14ac:dyDescent="0.25">
      <c r="D90" s="44"/>
    </row>
    <row r="91" spans="1:10" x14ac:dyDescent="0.25">
      <c r="D91" s="56"/>
    </row>
    <row r="92" spans="1:10" x14ac:dyDescent="0.25">
      <c r="D92" s="45"/>
    </row>
    <row r="95" spans="1:10" x14ac:dyDescent="0.25">
      <c r="A95" s="63" t="s">
        <v>49</v>
      </c>
      <c r="B95" s="63"/>
      <c r="C95" s="63"/>
      <c r="D95" s="63"/>
      <c r="E95" s="63"/>
      <c r="F95" s="63"/>
      <c r="G95" s="63"/>
      <c r="H95" s="63"/>
      <c r="I95" s="63"/>
      <c r="J95" s="63"/>
    </row>
    <row r="97" spans="1:10" x14ac:dyDescent="0.25">
      <c r="A97" s="1" t="s">
        <v>50</v>
      </c>
      <c r="C97" s="3" t="s">
        <v>13</v>
      </c>
      <c r="D97" s="6">
        <v>300000</v>
      </c>
    </row>
    <row r="98" spans="1:10" x14ac:dyDescent="0.25">
      <c r="A98" s="1" t="s">
        <v>51</v>
      </c>
      <c r="C98" s="3" t="s">
        <v>52</v>
      </c>
      <c r="D98" s="31">
        <v>0.02</v>
      </c>
      <c r="E98" s="1">
        <v>4</v>
      </c>
    </row>
    <row r="99" spans="1:10" x14ac:dyDescent="0.25">
      <c r="A99" s="1" t="s">
        <v>27</v>
      </c>
      <c r="C99" s="3" t="s">
        <v>53</v>
      </c>
      <c r="D99" s="4">
        <v>7.0000000000000001E-3</v>
      </c>
      <c r="E99" s="1">
        <v>12</v>
      </c>
    </row>
    <row r="100" spans="1:10" x14ac:dyDescent="0.25">
      <c r="A100" s="1" t="s">
        <v>54</v>
      </c>
      <c r="C100" s="3" t="s">
        <v>55</v>
      </c>
      <c r="D100" s="4">
        <v>1.4E-2</v>
      </c>
      <c r="E100" s="1">
        <v>6</v>
      </c>
    </row>
    <row r="101" spans="1:10" x14ac:dyDescent="0.25">
      <c r="A101" s="13" t="s">
        <v>56</v>
      </c>
      <c r="D101" s="1">
        <v>200</v>
      </c>
    </row>
    <row r="102" spans="1:10" x14ac:dyDescent="0.25">
      <c r="A102" s="13" t="s">
        <v>57</v>
      </c>
      <c r="D102" s="46">
        <v>1000</v>
      </c>
    </row>
    <row r="104" spans="1:10" x14ac:dyDescent="0.25">
      <c r="D104" s="47">
        <f>D97*(1+D98)^E98*(1+D99)^E99*(1+D100)^E100-D102</f>
        <v>382798.5400730074</v>
      </c>
    </row>
    <row r="105" spans="1:10" x14ac:dyDescent="0.25">
      <c r="D105" s="45"/>
    </row>
    <row r="106" spans="1:10" x14ac:dyDescent="0.25">
      <c r="D106" s="45"/>
    </row>
    <row r="107" spans="1:10" x14ac:dyDescent="0.25">
      <c r="A107" s="63" t="s">
        <v>58</v>
      </c>
      <c r="B107" s="63"/>
      <c r="C107" s="63"/>
      <c r="D107" s="63"/>
      <c r="E107" s="63"/>
      <c r="F107" s="63"/>
      <c r="G107" s="63"/>
      <c r="H107" s="63"/>
      <c r="I107" s="63"/>
      <c r="J107" s="63"/>
    </row>
    <row r="109" spans="1:10" x14ac:dyDescent="0.25">
      <c r="A109" s="40" t="s">
        <v>59</v>
      </c>
      <c r="B109" s="57">
        <v>10000000</v>
      </c>
    </row>
    <row r="110" spans="1:10" x14ac:dyDescent="0.25">
      <c r="A110" s="40" t="s">
        <v>28</v>
      </c>
      <c r="B110" s="5">
        <v>3.5000000000000003E-2</v>
      </c>
    </row>
    <row r="111" spans="1:10" x14ac:dyDescent="0.25">
      <c r="A111" s="40" t="s">
        <v>40</v>
      </c>
      <c r="B111" s="41">
        <f>(1+B110)^(1/12)-1</f>
        <v>2.8708987190766422E-3</v>
      </c>
    </row>
    <row r="112" spans="1:10" x14ac:dyDescent="0.25">
      <c r="A112" s="40" t="s">
        <v>60</v>
      </c>
      <c r="B112" s="1">
        <v>120</v>
      </c>
      <c r="C112" s="1" t="s">
        <v>61</v>
      </c>
    </row>
    <row r="113" spans="1:20" x14ac:dyDescent="0.25">
      <c r="A113" s="40" t="s">
        <v>62</v>
      </c>
      <c r="B113" s="48">
        <f>B109/B112</f>
        <v>83333.333333333328</v>
      </c>
    </row>
    <row r="114" spans="1:20" x14ac:dyDescent="0.25">
      <c r="A114" s="40" t="s">
        <v>63</v>
      </c>
    </row>
    <row r="115" spans="1:20" x14ac:dyDescent="0.25">
      <c r="A115" s="40" t="s">
        <v>64</v>
      </c>
      <c r="D115" s="57">
        <f>B109-(60*B113)</f>
        <v>5000000</v>
      </c>
    </row>
    <row r="116" spans="1:20" x14ac:dyDescent="0.25">
      <c r="A116" s="40" t="s">
        <v>65</v>
      </c>
      <c r="H116" s="49">
        <f>IPMT(B111,40,60,-D115)</f>
        <v>5307.1861213946922</v>
      </c>
    </row>
    <row r="120" spans="1:20" x14ac:dyDescent="0.25">
      <c r="A120" s="63" t="s">
        <v>66</v>
      </c>
      <c r="B120" s="63"/>
      <c r="C120" s="63"/>
      <c r="D120" s="63"/>
      <c r="E120" s="63"/>
      <c r="F120" s="63"/>
      <c r="G120" s="63"/>
      <c r="H120" s="63"/>
      <c r="I120" s="63"/>
      <c r="J120" s="63"/>
    </row>
    <row r="121" spans="1:20" x14ac:dyDescent="0.25">
      <c r="A121" s="40" t="s">
        <v>67</v>
      </c>
      <c r="B121" s="1" t="s">
        <v>68</v>
      </c>
      <c r="D121" s="1" t="s">
        <v>69</v>
      </c>
      <c r="E121" s="1" t="s">
        <v>70</v>
      </c>
    </row>
    <row r="122" spans="1:20" x14ac:dyDescent="0.25">
      <c r="A122" s="40" t="s">
        <v>71</v>
      </c>
      <c r="B122" s="1">
        <v>400000</v>
      </c>
      <c r="D122" s="1" t="s">
        <v>71</v>
      </c>
      <c r="E122" s="1">
        <v>400000</v>
      </c>
      <c r="G122" s="1" t="s">
        <v>127</v>
      </c>
      <c r="I122" s="1" t="s">
        <v>128</v>
      </c>
      <c r="L122" s="45">
        <f>PMT(B125,B124,-B122)</f>
        <v>2865.7242339126592</v>
      </c>
      <c r="N122" s="1" t="s">
        <v>129</v>
      </c>
      <c r="P122" s="45">
        <f>L122*B124</f>
        <v>687773.81613903819</v>
      </c>
      <c r="R122" s="1" t="s">
        <v>130</v>
      </c>
      <c r="T122" s="61">
        <f>P122-B122</f>
        <v>287773.81613903819</v>
      </c>
    </row>
    <row r="123" spans="1:20" x14ac:dyDescent="0.25">
      <c r="A123" s="40" t="s">
        <v>72</v>
      </c>
      <c r="B123" s="1">
        <v>20</v>
      </c>
      <c r="D123" s="1" t="s">
        <v>72</v>
      </c>
      <c r="E123" s="1">
        <v>20</v>
      </c>
      <c r="G123" s="1" t="s">
        <v>131</v>
      </c>
    </row>
    <row r="124" spans="1:20" x14ac:dyDescent="0.25">
      <c r="A124" s="40" t="s">
        <v>73</v>
      </c>
      <c r="B124" s="1">
        <v>240</v>
      </c>
      <c r="D124" s="1" t="s">
        <v>73</v>
      </c>
      <c r="E124" s="1">
        <v>240</v>
      </c>
      <c r="G124" s="1" t="s">
        <v>132</v>
      </c>
      <c r="R124" s="44">
        <f>PV(B125,(B124-60),-L122)</f>
        <v>339598.39378677937</v>
      </c>
    </row>
    <row r="125" spans="1:20" x14ac:dyDescent="0.25">
      <c r="A125" s="40" t="s">
        <v>125</v>
      </c>
      <c r="B125" s="5">
        <v>5.0000000000000001E-3</v>
      </c>
      <c r="D125" s="1" t="s">
        <v>62</v>
      </c>
      <c r="E125" s="60">
        <f>E122/E124</f>
        <v>1666.6666666666667</v>
      </c>
      <c r="G125" s="1" t="s">
        <v>133</v>
      </c>
      <c r="R125" s="62">
        <f>E126*(E122-49*E125)</f>
        <v>1591.6666666666665</v>
      </c>
    </row>
    <row r="126" spans="1:20" x14ac:dyDescent="0.25">
      <c r="A126" s="40"/>
      <c r="D126" s="1" t="s">
        <v>126</v>
      </c>
      <c r="E126" s="5">
        <v>5.0000000000000001E-3</v>
      </c>
      <c r="G126" s="1" t="s">
        <v>140</v>
      </c>
      <c r="R126" s="44">
        <f>PPMT(B125,18,B124,-B122)</f>
        <v>942.32914742489424</v>
      </c>
    </row>
    <row r="127" spans="1:20" x14ac:dyDescent="0.25">
      <c r="A127" s="58"/>
      <c r="B127" s="59"/>
      <c r="C127" s="5"/>
    </row>
    <row r="128" spans="1:20" x14ac:dyDescent="0.25">
      <c r="E128" s="48"/>
    </row>
    <row r="129" spans="1:10" x14ac:dyDescent="0.25">
      <c r="B129" s="45"/>
      <c r="C129" s="45"/>
      <c r="D129" s="45"/>
      <c r="E129" s="48"/>
    </row>
    <row r="130" spans="1:10" x14ac:dyDescent="0.25">
      <c r="A130" s="45"/>
      <c r="B130" s="45"/>
    </row>
    <row r="131" spans="1:10" x14ac:dyDescent="0.25">
      <c r="A131" s="63" t="s">
        <v>74</v>
      </c>
      <c r="B131" s="63"/>
      <c r="C131" s="63"/>
      <c r="D131" s="63"/>
      <c r="E131" s="63"/>
      <c r="F131" s="63"/>
      <c r="G131" s="63"/>
      <c r="H131" s="63"/>
      <c r="I131" s="63"/>
      <c r="J131" s="63"/>
    </row>
    <row r="133" spans="1:10" x14ac:dyDescent="0.25">
      <c r="A133" s="1" t="s">
        <v>137</v>
      </c>
      <c r="B133" s="6">
        <v>2000000</v>
      </c>
      <c r="C133" s="1" t="s">
        <v>136</v>
      </c>
      <c r="D133" s="32">
        <f>B133*(1+B141)^36*(1+B142)^24</f>
        <v>2175114.3904219149</v>
      </c>
    </row>
    <row r="134" spans="1:10" x14ac:dyDescent="0.25">
      <c r="A134" s="1" t="s">
        <v>75</v>
      </c>
      <c r="B134" s="6">
        <v>800000</v>
      </c>
    </row>
    <row r="135" spans="1:10" x14ac:dyDescent="0.25">
      <c r="A135" s="1" t="s">
        <v>76</v>
      </c>
      <c r="B135" s="1">
        <v>5</v>
      </c>
      <c r="C135" s="1" t="s">
        <v>77</v>
      </c>
      <c r="E135" s="32">
        <f>FV(B138,B136,-B139,-B134)</f>
        <v>1313312.4559147558</v>
      </c>
    </row>
    <row r="136" spans="1:10" x14ac:dyDescent="0.25">
      <c r="A136" s="1" t="s">
        <v>78</v>
      </c>
      <c r="B136" s="1">
        <f>B135*12</f>
        <v>60</v>
      </c>
      <c r="C136" s="1" t="s">
        <v>135</v>
      </c>
      <c r="E136" s="32">
        <f>E135*(1+B141)^36*(1+B142)^24</f>
        <v>1428302.4109902659</v>
      </c>
    </row>
    <row r="137" spans="1:10" x14ac:dyDescent="0.25">
      <c r="A137" s="1" t="s">
        <v>79</v>
      </c>
      <c r="B137" s="5">
        <v>5.2499999999999998E-2</v>
      </c>
    </row>
    <row r="138" spans="1:10" x14ac:dyDescent="0.25">
      <c r="A138" s="1" t="s">
        <v>27</v>
      </c>
      <c r="B138" s="8">
        <f>B137/12</f>
        <v>4.3749999999999995E-3</v>
      </c>
      <c r="C138" s="1" t="s">
        <v>138</v>
      </c>
      <c r="D138" s="18">
        <f>D133-E136</f>
        <v>746811.97943164897</v>
      </c>
    </row>
    <row r="139" spans="1:10" x14ac:dyDescent="0.25">
      <c r="A139" s="1" t="s">
        <v>134</v>
      </c>
      <c r="B139" s="6">
        <v>4000</v>
      </c>
    </row>
    <row r="140" spans="1:10" x14ac:dyDescent="0.25">
      <c r="D140" s="45"/>
    </row>
    <row r="141" spans="1:10" x14ac:dyDescent="0.25">
      <c r="A141" s="1" t="s">
        <v>80</v>
      </c>
      <c r="B141" s="5">
        <v>1E-3</v>
      </c>
      <c r="D141" s="32"/>
    </row>
    <row r="142" spans="1:10" x14ac:dyDescent="0.25">
      <c r="A142" s="1" t="s">
        <v>81</v>
      </c>
      <c r="B142" s="5">
        <v>2E-3</v>
      </c>
    </row>
    <row r="145" spans="1:10" x14ac:dyDescent="0.25">
      <c r="A145" s="63" t="s">
        <v>82</v>
      </c>
      <c r="B145" s="63"/>
      <c r="C145" s="63"/>
      <c r="D145" s="63"/>
      <c r="E145" s="63"/>
      <c r="F145" s="63"/>
      <c r="G145" s="63"/>
      <c r="H145" s="63"/>
      <c r="I145" s="63"/>
      <c r="J145" s="63"/>
    </row>
    <row r="146" spans="1:10" x14ac:dyDescent="0.25">
      <c r="A146" s="12"/>
      <c r="B146" s="12"/>
      <c r="C146" s="12"/>
      <c r="D146" s="12"/>
      <c r="E146" s="12"/>
    </row>
    <row r="147" spans="1:10" x14ac:dyDescent="0.25">
      <c r="A147" s="13" t="s">
        <v>83</v>
      </c>
      <c r="B147" s="13"/>
      <c r="C147" s="13"/>
      <c r="D147" s="13"/>
      <c r="E147" s="14">
        <v>0.04</v>
      </c>
    </row>
    <row r="148" spans="1:10" x14ac:dyDescent="0.25">
      <c r="A148" s="13" t="s">
        <v>51</v>
      </c>
      <c r="B148" s="13"/>
      <c r="C148" s="13"/>
      <c r="D148" s="13"/>
      <c r="E148" s="15">
        <f>E147/4</f>
        <v>0.01</v>
      </c>
    </row>
    <row r="149" spans="1:10" x14ac:dyDescent="0.25">
      <c r="A149" s="13" t="s">
        <v>84</v>
      </c>
      <c r="B149" s="13"/>
      <c r="C149" s="13"/>
      <c r="D149" s="13"/>
      <c r="E149" s="16">
        <v>1200</v>
      </c>
    </row>
    <row r="150" spans="1:10" x14ac:dyDescent="0.25">
      <c r="A150" s="13" t="s">
        <v>85</v>
      </c>
      <c r="B150" s="13"/>
      <c r="C150" s="13"/>
      <c r="D150" s="13"/>
      <c r="E150" s="16">
        <f>E149*E151</f>
        <v>30000</v>
      </c>
    </row>
    <row r="151" spans="1:10" x14ac:dyDescent="0.25">
      <c r="A151" s="13" t="s">
        <v>86</v>
      </c>
      <c r="B151" s="13"/>
      <c r="C151" s="13"/>
      <c r="D151" s="13"/>
      <c r="E151" s="16">
        <v>25</v>
      </c>
      <c r="J151" s="45"/>
    </row>
    <row r="152" spans="1:10" x14ac:dyDescent="0.25">
      <c r="A152" s="13" t="s">
        <v>87</v>
      </c>
      <c r="B152" s="13"/>
      <c r="C152" s="13"/>
      <c r="D152" s="13"/>
      <c r="E152" s="13">
        <v>13</v>
      </c>
    </row>
    <row r="153" spans="1:10" x14ac:dyDescent="0.25">
      <c r="A153" s="13" t="s">
        <v>88</v>
      </c>
      <c r="B153" s="13"/>
      <c r="C153" s="13"/>
      <c r="D153" s="13"/>
      <c r="E153" s="16">
        <f>E150-(E149*12)</f>
        <v>15600</v>
      </c>
    </row>
    <row r="154" spans="1:10" x14ac:dyDescent="0.25">
      <c r="A154" s="13" t="s">
        <v>89</v>
      </c>
      <c r="B154" s="12"/>
      <c r="C154" s="12"/>
      <c r="D154" s="12"/>
      <c r="E154" s="17">
        <f>E153*E148</f>
        <v>156</v>
      </c>
    </row>
    <row r="156" spans="1:10" x14ac:dyDescent="0.25">
      <c r="A156" s="63" t="s">
        <v>90</v>
      </c>
      <c r="B156" s="63"/>
      <c r="C156" s="63"/>
      <c r="D156" s="63"/>
      <c r="E156" s="63"/>
      <c r="F156" s="63"/>
      <c r="G156" s="63"/>
      <c r="H156" s="63"/>
      <c r="I156" s="63"/>
      <c r="J156" s="63"/>
    </row>
    <row r="158" spans="1:10" x14ac:dyDescent="0.25">
      <c r="A158" s="1" t="s">
        <v>23</v>
      </c>
      <c r="B158" s="2"/>
      <c r="C158" s="3" t="s">
        <v>91</v>
      </c>
      <c r="D158" s="4">
        <v>0.12</v>
      </c>
    </row>
    <row r="159" spans="1:10" x14ac:dyDescent="0.25">
      <c r="A159" s="1" t="s">
        <v>51</v>
      </c>
      <c r="B159" s="2"/>
      <c r="C159" s="3" t="s">
        <v>92</v>
      </c>
      <c r="D159" s="5">
        <f>D158/4</f>
        <v>0.03</v>
      </c>
    </row>
    <row r="160" spans="1:10" x14ac:dyDescent="0.25">
      <c r="B160" s="2"/>
      <c r="C160" s="3"/>
      <c r="D160" s="6"/>
    </row>
    <row r="161" spans="1:10" x14ac:dyDescent="0.25">
      <c r="A161" s="1" t="s">
        <v>93</v>
      </c>
      <c r="B161" s="2"/>
      <c r="C161" s="3" t="s">
        <v>48</v>
      </c>
      <c r="D161" s="7">
        <f>(1+D159)^4-1</f>
        <v>0.12550880999999992</v>
      </c>
    </row>
    <row r="162" spans="1:10" x14ac:dyDescent="0.25">
      <c r="C162" s="3"/>
      <c r="D162" s="4"/>
    </row>
    <row r="165" spans="1:10" x14ac:dyDescent="0.25">
      <c r="A165" s="63" t="s">
        <v>94</v>
      </c>
      <c r="B165" s="63"/>
      <c r="C165" s="63"/>
      <c r="D165" s="63"/>
      <c r="E165" s="63"/>
      <c r="F165" s="63"/>
      <c r="G165" s="63"/>
      <c r="H165" s="63"/>
      <c r="I165" s="63"/>
      <c r="J165" s="63"/>
    </row>
    <row r="167" spans="1:10" x14ac:dyDescent="0.25">
      <c r="A167" s="1" t="s">
        <v>95</v>
      </c>
      <c r="B167" s="1">
        <v>105.5</v>
      </c>
    </row>
    <row r="168" spans="1:10" x14ac:dyDescent="0.25">
      <c r="A168" s="1" t="s">
        <v>96</v>
      </c>
      <c r="B168" s="1">
        <v>100.6</v>
      </c>
    </row>
    <row r="169" spans="1:10" x14ac:dyDescent="0.25">
      <c r="A169" s="1" t="s">
        <v>97</v>
      </c>
      <c r="B169" s="8">
        <f>B168/B167-1</f>
        <v>-4.6445497630331789E-2</v>
      </c>
    </row>
    <row r="171" spans="1:10" x14ac:dyDescent="0.25">
      <c r="A171" s="9" t="s">
        <v>98</v>
      </c>
    </row>
    <row r="172" spans="1:10" x14ac:dyDescent="0.25">
      <c r="A172" s="1" t="s">
        <v>99</v>
      </c>
      <c r="B172" s="50">
        <v>300000</v>
      </c>
    </row>
    <row r="173" spans="1:10" x14ac:dyDescent="0.25">
      <c r="A173" s="1" t="s">
        <v>100</v>
      </c>
      <c r="B173" s="50">
        <f>B172/(1+B169)</f>
        <v>314612.32604373759</v>
      </c>
    </row>
    <row r="174" spans="1:10" x14ac:dyDescent="0.25">
      <c r="A174" s="1" t="s">
        <v>101</v>
      </c>
      <c r="B174" s="5">
        <v>4.4999999999999998E-2</v>
      </c>
    </row>
    <row r="175" spans="1:10" x14ac:dyDescent="0.25">
      <c r="A175" s="1" t="s">
        <v>102</v>
      </c>
      <c r="B175" s="1">
        <v>4</v>
      </c>
    </row>
    <row r="176" spans="1:10" x14ac:dyDescent="0.25">
      <c r="A176" s="10" t="s">
        <v>103</v>
      </c>
      <c r="B176" s="18">
        <f>PV(B174,B175,,-B173)</f>
        <v>263821.7348382232</v>
      </c>
    </row>
    <row r="178" spans="1:10" x14ac:dyDescent="0.25">
      <c r="B178" s="32"/>
    </row>
    <row r="179" spans="1:10" x14ac:dyDescent="0.25">
      <c r="A179" s="63" t="s">
        <v>104</v>
      </c>
      <c r="B179" s="63"/>
      <c r="C179" s="63"/>
      <c r="D179" s="63"/>
      <c r="E179" s="63"/>
      <c r="F179" s="63"/>
      <c r="G179" s="63"/>
      <c r="H179" s="63"/>
      <c r="I179" s="63"/>
      <c r="J179" s="63"/>
    </row>
    <row r="180" spans="1:10" x14ac:dyDescent="0.25">
      <c r="A180" s="1" t="s">
        <v>105</v>
      </c>
      <c r="B180" s="19">
        <v>6.9000000000000006E-2</v>
      </c>
      <c r="C180" s="3" t="s">
        <v>106</v>
      </c>
    </row>
    <row r="181" spans="1:10" x14ac:dyDescent="0.25">
      <c r="A181" s="1" t="s">
        <v>107</v>
      </c>
      <c r="B181" s="20">
        <v>0.04</v>
      </c>
      <c r="C181" s="3" t="s">
        <v>108</v>
      </c>
    </row>
    <row r="182" spans="1:10" x14ac:dyDescent="0.25">
      <c r="A182" s="1" t="s">
        <v>109</v>
      </c>
      <c r="B182" s="21">
        <v>5000000</v>
      </c>
      <c r="C182" s="3" t="s">
        <v>17</v>
      </c>
    </row>
    <row r="183" spans="1:10" x14ac:dyDescent="0.25">
      <c r="A183" s="1" t="s">
        <v>110</v>
      </c>
      <c r="B183" s="21">
        <v>35</v>
      </c>
      <c r="C183" s="3"/>
    </row>
    <row r="184" spans="1:10" x14ac:dyDescent="0.25">
      <c r="A184" s="1" t="s">
        <v>111</v>
      </c>
      <c r="B184" s="22">
        <f>B183*12</f>
        <v>420</v>
      </c>
      <c r="C184" s="23" t="s">
        <v>47</v>
      </c>
    </row>
    <row r="185" spans="1:10" x14ac:dyDescent="0.25">
      <c r="A185" s="1" t="s">
        <v>112</v>
      </c>
      <c r="B185" s="20">
        <f>(1+B180)^(1/12)-1</f>
        <v>5.5757898442876375E-3</v>
      </c>
      <c r="C185" s="3" t="s">
        <v>113</v>
      </c>
    </row>
    <row r="186" spans="1:10" x14ac:dyDescent="0.25">
      <c r="B186" s="21"/>
    </row>
    <row r="187" spans="1:10" x14ac:dyDescent="0.25">
      <c r="A187" s="10" t="s">
        <v>114</v>
      </c>
      <c r="B187" s="65">
        <f>(1+B180)/(1+B181)-1</f>
        <v>2.7884615384615286E-2</v>
      </c>
      <c r="C187" s="11" t="s">
        <v>115</v>
      </c>
    </row>
    <row r="188" spans="1:10" x14ac:dyDescent="0.25">
      <c r="A188" s="10" t="s">
        <v>116</v>
      </c>
      <c r="B188" s="24">
        <f>PMT(B185,B184,,-B182)</f>
        <v>2987.1883374216932</v>
      </c>
      <c r="C188" s="25" t="s">
        <v>12</v>
      </c>
    </row>
    <row r="191" spans="1:10" x14ac:dyDescent="0.25">
      <c r="A191" s="63" t="s">
        <v>117</v>
      </c>
      <c r="B191" s="63"/>
      <c r="C191" s="63"/>
      <c r="D191" s="63"/>
      <c r="E191" s="63"/>
      <c r="F191" s="63"/>
      <c r="G191" s="63"/>
      <c r="H191" s="63"/>
      <c r="I191" s="63"/>
      <c r="J191" s="63"/>
    </row>
    <row r="192" spans="1:10" x14ac:dyDescent="0.25">
      <c r="A192" s="72">
        <v>240000</v>
      </c>
      <c r="B192" s="67" t="s">
        <v>13</v>
      </c>
      <c r="C192" s="66"/>
      <c r="D192" s="1" t="s">
        <v>141</v>
      </c>
      <c r="E192" s="1" t="s">
        <v>142</v>
      </c>
      <c r="F192" s="1" t="s">
        <v>143</v>
      </c>
      <c r="G192" s="1" t="s">
        <v>126</v>
      </c>
      <c r="H192" s="1" t="s">
        <v>144</v>
      </c>
      <c r="I192" s="1" t="s">
        <v>145</v>
      </c>
    </row>
    <row r="193" spans="1:10" x14ac:dyDescent="0.25">
      <c r="A193" s="66">
        <v>6</v>
      </c>
      <c r="B193" s="67" t="s">
        <v>47</v>
      </c>
      <c r="C193" s="66"/>
      <c r="D193" s="1">
        <v>1</v>
      </c>
      <c r="E193" s="79">
        <f>A192</f>
        <v>240000</v>
      </c>
      <c r="F193" s="1">
        <f>$A$192/$A$193</f>
        <v>40000</v>
      </c>
      <c r="G193" s="1">
        <f>$A$194*E193</f>
        <v>9600</v>
      </c>
      <c r="H193" s="1">
        <f>G193+F193</f>
        <v>49600</v>
      </c>
      <c r="I193" s="6">
        <f>E193-F193</f>
        <v>200000</v>
      </c>
    </row>
    <row r="194" spans="1:10" x14ac:dyDescent="0.25">
      <c r="A194" s="73">
        <v>0.04</v>
      </c>
      <c r="B194" s="66" t="s">
        <v>113</v>
      </c>
      <c r="C194" s="66"/>
      <c r="D194" s="1">
        <v>2</v>
      </c>
      <c r="E194" s="6">
        <f>E193-F193</f>
        <v>200000</v>
      </c>
      <c r="F194" s="1">
        <f t="shared" ref="F194:F198" si="0">$A$192/$A$193</f>
        <v>40000</v>
      </c>
      <c r="G194" s="1">
        <f t="shared" ref="G194:G198" si="1">$A$194*E194</f>
        <v>8000</v>
      </c>
      <c r="H194" s="1">
        <f t="shared" ref="H194:H198" si="2">G194+F194</f>
        <v>48000</v>
      </c>
      <c r="I194" s="6">
        <f t="shared" ref="I194:I198" si="3">E194-F194</f>
        <v>160000</v>
      </c>
    </row>
    <row r="195" spans="1:10" x14ac:dyDescent="0.25">
      <c r="A195" s="66"/>
      <c r="B195" s="68"/>
      <c r="C195" s="69"/>
      <c r="D195" s="1">
        <v>3</v>
      </c>
      <c r="E195" s="6">
        <f t="shared" ref="E195:E198" si="4">E194-F194</f>
        <v>160000</v>
      </c>
      <c r="F195" s="1">
        <f t="shared" si="0"/>
        <v>40000</v>
      </c>
      <c r="G195" s="1">
        <f>$A$194*E195</f>
        <v>6400</v>
      </c>
      <c r="H195" s="1">
        <f t="shared" si="2"/>
        <v>46400</v>
      </c>
      <c r="I195" s="78">
        <f t="shared" si="3"/>
        <v>120000</v>
      </c>
    </row>
    <row r="196" spans="1:10" x14ac:dyDescent="0.25">
      <c r="A196" s="66"/>
      <c r="B196" s="68"/>
      <c r="C196" s="69"/>
      <c r="D196" s="1">
        <v>4</v>
      </c>
      <c r="E196" s="6">
        <f t="shared" si="4"/>
        <v>120000</v>
      </c>
      <c r="F196" s="1">
        <f t="shared" si="0"/>
        <v>40000</v>
      </c>
      <c r="G196" s="1">
        <f t="shared" si="1"/>
        <v>4800</v>
      </c>
      <c r="H196" s="1">
        <f t="shared" si="2"/>
        <v>44800</v>
      </c>
      <c r="I196" s="6">
        <f t="shared" si="3"/>
        <v>80000</v>
      </c>
    </row>
    <row r="197" spans="1:10" x14ac:dyDescent="0.25">
      <c r="A197" s="66"/>
      <c r="B197" s="66"/>
      <c r="C197" s="66"/>
      <c r="D197" s="1">
        <v>5</v>
      </c>
      <c r="E197" s="6">
        <f t="shared" si="4"/>
        <v>80000</v>
      </c>
      <c r="F197" s="1">
        <f t="shared" si="0"/>
        <v>40000</v>
      </c>
      <c r="G197" s="1">
        <f t="shared" si="1"/>
        <v>3200</v>
      </c>
      <c r="H197" s="1">
        <f t="shared" si="2"/>
        <v>43200</v>
      </c>
      <c r="I197" s="6">
        <f t="shared" si="3"/>
        <v>40000</v>
      </c>
    </row>
    <row r="198" spans="1:10" x14ac:dyDescent="0.25">
      <c r="A198" s="66"/>
      <c r="B198" s="67"/>
      <c r="C198" s="51"/>
      <c r="D198" s="1">
        <v>6</v>
      </c>
      <c r="E198" s="6">
        <f t="shared" si="4"/>
        <v>40000</v>
      </c>
      <c r="F198" s="1">
        <f t="shared" si="0"/>
        <v>40000</v>
      </c>
      <c r="G198" s="1">
        <f t="shared" si="1"/>
        <v>1600</v>
      </c>
      <c r="H198" s="1">
        <f t="shared" si="2"/>
        <v>41600</v>
      </c>
      <c r="I198" s="6">
        <f t="shared" si="3"/>
        <v>0</v>
      </c>
    </row>
    <row r="199" spans="1:10" x14ac:dyDescent="0.25">
      <c r="A199" s="66"/>
      <c r="B199" s="66"/>
      <c r="C199" s="66"/>
    </row>
    <row r="200" spans="1:10" x14ac:dyDescent="0.25">
      <c r="A200" s="63" t="s">
        <v>118</v>
      </c>
      <c r="B200" s="63"/>
      <c r="C200" s="63"/>
      <c r="D200" s="63"/>
      <c r="E200" s="63"/>
      <c r="F200" s="63"/>
      <c r="G200" s="63"/>
      <c r="H200" s="63"/>
      <c r="I200" s="63"/>
      <c r="J200" s="63"/>
    </row>
    <row r="201" spans="1:10" x14ac:dyDescent="0.25">
      <c r="A201" s="1" t="s">
        <v>147</v>
      </c>
      <c r="B201" s="6">
        <v>25000</v>
      </c>
      <c r="C201" s="1" t="s">
        <v>148</v>
      </c>
    </row>
    <row r="202" spans="1:10" x14ac:dyDescent="0.25">
      <c r="A202" s="70" t="s">
        <v>146</v>
      </c>
      <c r="B202" s="74">
        <v>240</v>
      </c>
    </row>
    <row r="203" spans="1:10" x14ac:dyDescent="0.25">
      <c r="A203" s="70" t="s">
        <v>26</v>
      </c>
      <c r="B203" s="71">
        <v>3.6600000000000001E-2</v>
      </c>
      <c r="C203" s="45">
        <f>PV(B205,B202,-B201,,B206)</f>
        <v>4285507.5039318483</v>
      </c>
    </row>
    <row r="204" spans="1:10" x14ac:dyDescent="0.25">
      <c r="A204" s="75" t="s">
        <v>51</v>
      </c>
      <c r="B204" s="67">
        <f>(1+B203)^(1/4)-1</f>
        <v>9.0270317968861313E-3</v>
      </c>
    </row>
    <row r="205" spans="1:10" x14ac:dyDescent="0.25">
      <c r="A205" s="75" t="s">
        <v>27</v>
      </c>
      <c r="B205" s="67">
        <f>(1+B203)^(1/12)-1</f>
        <v>3.0000015894111609E-3</v>
      </c>
    </row>
    <row r="206" spans="1:10" x14ac:dyDescent="0.25">
      <c r="A206" s="75" t="s">
        <v>149</v>
      </c>
      <c r="B206" s="74">
        <v>1</v>
      </c>
      <c r="C206" s="1" t="s">
        <v>156</v>
      </c>
    </row>
    <row r="207" spans="1:10" x14ac:dyDescent="0.25">
      <c r="A207" s="70" t="s">
        <v>150</v>
      </c>
      <c r="B207" s="76">
        <v>200</v>
      </c>
    </row>
    <row r="208" spans="1:10" x14ac:dyDescent="0.25">
      <c r="A208" s="70"/>
      <c r="B208" s="70"/>
      <c r="C208" s="61">
        <f>PMT(B204,B207,,-C203,B206)</f>
        <v>7617.0228116895605</v>
      </c>
    </row>
    <row r="211" spans="1:10" x14ac:dyDescent="0.25">
      <c r="A211" s="63" t="s">
        <v>119</v>
      </c>
      <c r="B211" s="63"/>
      <c r="C211" s="63"/>
      <c r="D211" s="63"/>
      <c r="E211" s="63"/>
      <c r="F211" s="63"/>
      <c r="G211" s="63"/>
      <c r="H211" s="63"/>
      <c r="I211" s="63"/>
      <c r="J211" s="63"/>
    </row>
    <row r="212" spans="1:10" x14ac:dyDescent="0.25">
      <c r="A212" s="1" t="s">
        <v>120</v>
      </c>
      <c r="B212" s="21">
        <v>60000</v>
      </c>
    </row>
    <row r="213" spans="1:10" x14ac:dyDescent="0.25">
      <c r="A213" s="1" t="s">
        <v>121</v>
      </c>
      <c r="B213" s="21">
        <v>24000</v>
      </c>
    </row>
    <row r="214" spans="1:10" x14ac:dyDescent="0.25">
      <c r="A214" s="1" t="s">
        <v>122</v>
      </c>
      <c r="B214" s="21">
        <v>36600</v>
      </c>
    </row>
    <row r="215" spans="1:10" x14ac:dyDescent="0.25">
      <c r="A215" s="1" t="s">
        <v>123</v>
      </c>
      <c r="B215" s="26">
        <f>B212-B213</f>
        <v>36000</v>
      </c>
    </row>
    <row r="216" spans="1:10" x14ac:dyDescent="0.25">
      <c r="A216" s="1" t="s">
        <v>139</v>
      </c>
      <c r="B216" s="67">
        <f>B214/B215-1</f>
        <v>1.6666666666666607E-2</v>
      </c>
      <c r="C216" s="5"/>
    </row>
    <row r="217" spans="1:10" x14ac:dyDescent="0.25">
      <c r="B217" s="27"/>
      <c r="C217" s="5"/>
    </row>
    <row r="218" spans="1:10" x14ac:dyDescent="0.25">
      <c r="A218" s="1" t="s">
        <v>79</v>
      </c>
      <c r="B218" s="7">
        <f>(1+B216)^3-1</f>
        <v>5.0837962962962724E-2</v>
      </c>
    </row>
    <row r="219" spans="1:10" x14ac:dyDescent="0.25">
      <c r="C219" s="5"/>
    </row>
    <row r="220" spans="1:10" x14ac:dyDescent="0.25">
      <c r="B220" s="5"/>
    </row>
    <row r="221" spans="1:10" x14ac:dyDescent="0.25">
      <c r="A221" s="63" t="s">
        <v>189</v>
      </c>
      <c r="B221" s="63"/>
      <c r="C221" s="63"/>
      <c r="D221" s="63"/>
      <c r="E221" s="63"/>
      <c r="F221" s="63"/>
      <c r="G221" s="63"/>
      <c r="H221" s="63"/>
      <c r="I221" s="63"/>
      <c r="J221" s="63"/>
    </row>
    <row r="222" spans="1:10" x14ac:dyDescent="0.25">
      <c r="A222"/>
      <c r="B222"/>
      <c r="C222"/>
      <c r="D222"/>
      <c r="E222"/>
      <c r="F222"/>
      <c r="G222"/>
      <c r="H222"/>
    </row>
    <row r="223" spans="1:10" x14ac:dyDescent="0.25">
      <c r="A223"/>
      <c r="B223"/>
      <c r="C223"/>
      <c r="D223"/>
      <c r="E223"/>
      <c r="F223"/>
      <c r="G223"/>
      <c r="H223"/>
    </row>
    <row r="224" spans="1:10" x14ac:dyDescent="0.25">
      <c r="A224" s="87" t="s">
        <v>173</v>
      </c>
      <c r="B224"/>
      <c r="C224"/>
      <c r="D224"/>
      <c r="E224"/>
      <c r="F224"/>
      <c r="G224"/>
      <c r="H224"/>
    </row>
    <row r="225" spans="1:8" x14ac:dyDescent="0.25">
      <c r="A225" t="s">
        <v>174</v>
      </c>
      <c r="B225">
        <v>15</v>
      </c>
      <c r="C225" t="s">
        <v>72</v>
      </c>
      <c r="D225"/>
      <c r="E225"/>
      <c r="F225"/>
      <c r="G225"/>
      <c r="H225"/>
    </row>
    <row r="226" spans="1:8" x14ac:dyDescent="0.25">
      <c r="A226" t="s">
        <v>73</v>
      </c>
      <c r="B226">
        <f>B225*12</f>
        <v>180</v>
      </c>
      <c r="C226" t="s">
        <v>47</v>
      </c>
      <c r="D226"/>
      <c r="E226"/>
      <c r="F226"/>
      <c r="G226"/>
      <c r="H226"/>
    </row>
    <row r="227" spans="1:8" x14ac:dyDescent="0.25">
      <c r="A227" t="s">
        <v>27</v>
      </c>
      <c r="B227" s="83">
        <v>5.0000000000000001E-3</v>
      </c>
      <c r="C227" t="s">
        <v>113</v>
      </c>
      <c r="D227"/>
      <c r="E227"/>
      <c r="F227"/>
      <c r="G227"/>
      <c r="H227"/>
    </row>
    <row r="228" spans="1:8" x14ac:dyDescent="0.25">
      <c r="A228" t="s">
        <v>172</v>
      </c>
      <c r="B228" s="81">
        <v>2000</v>
      </c>
      <c r="C228" t="s">
        <v>12</v>
      </c>
      <c r="D228"/>
      <c r="E228"/>
      <c r="F228"/>
      <c r="G228"/>
      <c r="H228"/>
    </row>
    <row r="229" spans="1:8" x14ac:dyDescent="0.25">
      <c r="A229" s="87" t="s">
        <v>175</v>
      </c>
      <c r="B229"/>
      <c r="C229"/>
      <c r="D229"/>
      <c r="E229"/>
      <c r="F229"/>
      <c r="G229"/>
      <c r="H229"/>
    </row>
    <row r="230" spans="1:8" x14ac:dyDescent="0.25">
      <c r="A230" t="s">
        <v>176</v>
      </c>
      <c r="B230">
        <v>500</v>
      </c>
      <c r="C230" t="s">
        <v>12</v>
      </c>
      <c r="D230"/>
      <c r="E230"/>
      <c r="F230"/>
      <c r="G230"/>
      <c r="H230"/>
    </row>
    <row r="231" spans="1:8" x14ac:dyDescent="0.25">
      <c r="A231" t="s">
        <v>174</v>
      </c>
      <c r="B231">
        <v>5</v>
      </c>
      <c r="C231" t="s">
        <v>72</v>
      </c>
      <c r="D231"/>
      <c r="E231"/>
      <c r="F231"/>
      <c r="G231"/>
      <c r="H231"/>
    </row>
    <row r="232" spans="1:8" x14ac:dyDescent="0.25">
      <c r="A232" t="s">
        <v>73</v>
      </c>
      <c r="B232">
        <f>B231*12</f>
        <v>60</v>
      </c>
      <c r="C232" t="s">
        <v>47</v>
      </c>
      <c r="D232"/>
      <c r="E232"/>
      <c r="F232"/>
      <c r="G232"/>
      <c r="H232"/>
    </row>
    <row r="233" spans="1:8" x14ac:dyDescent="0.25">
      <c r="A233" t="s">
        <v>27</v>
      </c>
      <c r="B233" s="83">
        <v>4.0000000000000001E-3</v>
      </c>
      <c r="C233" t="s">
        <v>113</v>
      </c>
      <c r="D233"/>
      <c r="E233"/>
      <c r="F233"/>
      <c r="G233"/>
      <c r="H233"/>
    </row>
    <row r="234" spans="1:8" x14ac:dyDescent="0.25">
      <c r="A234"/>
      <c r="B234"/>
      <c r="C234"/>
      <c r="D234"/>
      <c r="E234"/>
      <c r="F234"/>
      <c r="G234"/>
      <c r="H234"/>
    </row>
    <row r="235" spans="1:8" x14ac:dyDescent="0.25">
      <c r="A235" s="87" t="s">
        <v>177</v>
      </c>
      <c r="B235"/>
      <c r="C235"/>
      <c r="D235"/>
      <c r="E235"/>
      <c r="F235"/>
      <c r="G235"/>
      <c r="H235"/>
    </row>
    <row r="236" spans="1:8" x14ac:dyDescent="0.25">
      <c r="A236" t="s">
        <v>174</v>
      </c>
      <c r="B236">
        <v>10</v>
      </c>
      <c r="C236" t="s">
        <v>72</v>
      </c>
      <c r="D236"/>
      <c r="E236"/>
      <c r="F236"/>
      <c r="G236"/>
      <c r="H236"/>
    </row>
    <row r="237" spans="1:8" x14ac:dyDescent="0.25">
      <c r="A237" t="s">
        <v>73</v>
      </c>
      <c r="B237">
        <f>B236*12</f>
        <v>120</v>
      </c>
      <c r="C237" t="s">
        <v>47</v>
      </c>
      <c r="D237"/>
      <c r="E237"/>
      <c r="F237"/>
      <c r="G237"/>
      <c r="H237"/>
    </row>
    <row r="238" spans="1:8" x14ac:dyDescent="0.25">
      <c r="A238" t="s">
        <v>27</v>
      </c>
      <c r="B238" s="83">
        <v>3.0000000000000001E-3</v>
      </c>
      <c r="C238" t="s">
        <v>113</v>
      </c>
      <c r="D238"/>
      <c r="E238"/>
      <c r="F238"/>
      <c r="G238"/>
      <c r="H238"/>
    </row>
    <row r="239" spans="1:8" x14ac:dyDescent="0.25">
      <c r="A239" t="s">
        <v>172</v>
      </c>
      <c r="B239" s="81">
        <v>3000</v>
      </c>
      <c r="C239"/>
      <c r="D239"/>
      <c r="E239"/>
      <c r="F239"/>
      <c r="G239"/>
      <c r="H239"/>
    </row>
    <row r="240" spans="1:8" x14ac:dyDescent="0.25">
      <c r="A240"/>
      <c r="B240"/>
      <c r="C240"/>
      <c r="D240"/>
      <c r="E240"/>
      <c r="F240"/>
      <c r="G240"/>
      <c r="H240"/>
    </row>
    <row r="241" spans="1:8" x14ac:dyDescent="0.25">
      <c r="A241" t="s">
        <v>178</v>
      </c>
      <c r="B241"/>
      <c r="C241"/>
      <c r="D241"/>
      <c r="E241"/>
      <c r="F241"/>
      <c r="G241"/>
      <c r="H241"/>
    </row>
    <row r="242" spans="1:8" x14ac:dyDescent="0.25">
      <c r="A242" t="s">
        <v>174</v>
      </c>
      <c r="B242">
        <v>30</v>
      </c>
      <c r="C242"/>
      <c r="D242"/>
      <c r="E242"/>
      <c r="F242"/>
      <c r="G242"/>
      <c r="H242"/>
    </row>
    <row r="243" spans="1:8" x14ac:dyDescent="0.25">
      <c r="A243" t="s">
        <v>73</v>
      </c>
      <c r="B243">
        <f>B242*12</f>
        <v>360</v>
      </c>
      <c r="C243"/>
      <c r="D243"/>
      <c r="E243"/>
      <c r="F243"/>
      <c r="G243"/>
      <c r="H243"/>
    </row>
    <row r="244" spans="1:8" x14ac:dyDescent="0.25">
      <c r="A244"/>
      <c r="B244"/>
      <c r="C244"/>
      <c r="D244"/>
      <c r="E244"/>
      <c r="F244"/>
      <c r="G244"/>
      <c r="H244"/>
    </row>
    <row r="245" spans="1:8" x14ac:dyDescent="0.25">
      <c r="A245"/>
      <c r="B245" s="88">
        <f>FV(B227,B226,-B228,,0)</f>
        <v>581637.42489885841</v>
      </c>
      <c r="C245" t="s">
        <v>179</v>
      </c>
      <c r="D245" t="s">
        <v>180</v>
      </c>
      <c r="E245"/>
      <c r="F245"/>
      <c r="G245"/>
      <c r="H245"/>
    </row>
    <row r="246" spans="1:8" x14ac:dyDescent="0.25">
      <c r="A246"/>
      <c r="B246" s="88">
        <f>FV(B233,B232,,-B245)</f>
        <v>739052.19560160255</v>
      </c>
      <c r="C246" t="s">
        <v>181</v>
      </c>
      <c r="D246" t="s">
        <v>182</v>
      </c>
      <c r="E246"/>
      <c r="F246"/>
      <c r="G246"/>
      <c r="H246"/>
    </row>
    <row r="247" spans="1:8" x14ac:dyDescent="0.25">
      <c r="A247"/>
      <c r="B247" s="89">
        <f>FV(B238,B237,,-B246)</f>
        <v>1058734.5213007142</v>
      </c>
      <c r="C247" t="s">
        <v>183</v>
      </c>
      <c r="D247" t="s">
        <v>184</v>
      </c>
      <c r="E247"/>
      <c r="F247"/>
      <c r="G247"/>
      <c r="H247"/>
    </row>
    <row r="248" spans="1:8" x14ac:dyDescent="0.25">
      <c r="A248"/>
      <c r="B248"/>
      <c r="C248"/>
      <c r="D248"/>
      <c r="E248"/>
      <c r="F248"/>
      <c r="G248"/>
      <c r="H248"/>
    </row>
    <row r="249" spans="1:8" x14ac:dyDescent="0.25">
      <c r="A249"/>
      <c r="B249" s="88">
        <f>FV(B233,B232,B230,,0)</f>
        <v>-33830.089838638996</v>
      </c>
      <c r="C249" t="s">
        <v>181</v>
      </c>
      <c r="D249" t="s">
        <v>185</v>
      </c>
      <c r="E249"/>
      <c r="F249"/>
      <c r="G249"/>
      <c r="H249"/>
    </row>
    <row r="250" spans="1:8" x14ac:dyDescent="0.25">
      <c r="A250"/>
      <c r="B250" s="89">
        <f>FV(B238,B237,,-B249)</f>
        <v>-48463.537736622005</v>
      </c>
      <c r="C250" t="s">
        <v>183</v>
      </c>
      <c r="D250" t="s">
        <v>186</v>
      </c>
      <c r="E250"/>
      <c r="F250"/>
      <c r="G250"/>
      <c r="H250"/>
    </row>
    <row r="251" spans="1:8" x14ac:dyDescent="0.25">
      <c r="A251"/>
      <c r="B251"/>
      <c r="C251"/>
      <c r="D251"/>
      <c r="E251"/>
      <c r="F251"/>
      <c r="G251"/>
      <c r="H251"/>
    </row>
    <row r="252" spans="1:8" x14ac:dyDescent="0.25">
      <c r="A252"/>
      <c r="B252" s="89">
        <f>FV(B238,B237,-B239,,0)</f>
        <v>432557.16930640338</v>
      </c>
      <c r="C252" t="s">
        <v>183</v>
      </c>
      <c r="D252" t="s">
        <v>187</v>
      </c>
      <c r="E252"/>
      <c r="F252"/>
      <c r="G252"/>
      <c r="H252"/>
    </row>
    <row r="253" spans="1:8" x14ac:dyDescent="0.25">
      <c r="A253"/>
      <c r="B253"/>
      <c r="C253"/>
      <c r="D253"/>
      <c r="E253"/>
      <c r="F253"/>
      <c r="G253"/>
      <c r="H253"/>
    </row>
    <row r="254" spans="1:8" x14ac:dyDescent="0.25">
      <c r="A254" t="s">
        <v>188</v>
      </c>
      <c r="B254" s="90">
        <f>B247+B250+B252</f>
        <v>1442828.1528704956</v>
      </c>
      <c r="C254"/>
      <c r="D254"/>
      <c r="E254"/>
      <c r="F254"/>
      <c r="G254"/>
    </row>
    <row r="256" spans="1:8" x14ac:dyDescent="0.25">
      <c r="B256" s="45"/>
    </row>
    <row r="257" spans="1:10" x14ac:dyDescent="0.25">
      <c r="A257" s="63" t="s">
        <v>190</v>
      </c>
      <c r="B257" s="63"/>
      <c r="C257" s="63"/>
      <c r="D257" s="63"/>
      <c r="E257" s="63"/>
      <c r="F257" s="63"/>
      <c r="G257" s="63"/>
      <c r="H257" s="63"/>
      <c r="I257" s="63"/>
      <c r="J257" s="63"/>
    </row>
    <row r="258" spans="1:10" x14ac:dyDescent="0.25">
      <c r="A258" s="1" t="s">
        <v>192</v>
      </c>
      <c r="B258" s="6">
        <v>140000</v>
      </c>
      <c r="C258" s="6"/>
    </row>
    <row r="259" spans="1:10" x14ac:dyDescent="0.25">
      <c r="A259" s="1" t="s">
        <v>191</v>
      </c>
      <c r="B259" s="6">
        <v>130000</v>
      </c>
    </row>
    <row r="260" spans="1:10" x14ac:dyDescent="0.25">
      <c r="A260" s="1" t="s">
        <v>193</v>
      </c>
      <c r="B260" s="1">
        <v>8</v>
      </c>
    </row>
    <row r="261" spans="1:10" x14ac:dyDescent="0.25">
      <c r="A261" s="1" t="s">
        <v>194</v>
      </c>
      <c r="B261" s="6">
        <v>2200</v>
      </c>
    </row>
    <row r="262" spans="1:10" x14ac:dyDescent="0.25">
      <c r="A262" s="1" t="s">
        <v>195</v>
      </c>
      <c r="B262" s="1">
        <v>500</v>
      </c>
    </row>
    <row r="263" spans="1:10" x14ac:dyDescent="0.25">
      <c r="A263" s="1" t="s">
        <v>23</v>
      </c>
      <c r="B263" s="31">
        <v>0.1</v>
      </c>
    </row>
    <row r="264" spans="1:10" x14ac:dyDescent="0.25">
      <c r="A264" s="1" t="s">
        <v>27</v>
      </c>
      <c r="B264" s="5">
        <f>B263/12</f>
        <v>8.3333333333333332E-3</v>
      </c>
    </row>
    <row r="266" spans="1:10" x14ac:dyDescent="0.25">
      <c r="A266" s="1" t="s">
        <v>197</v>
      </c>
      <c r="B266" s="6">
        <f>B259-B261</f>
        <v>127800</v>
      </c>
    </row>
    <row r="267" spans="1:10" x14ac:dyDescent="0.25">
      <c r="A267" s="1" t="s">
        <v>196</v>
      </c>
      <c r="B267" s="61">
        <f>FV(B264,B260,,-B259)+B262</f>
        <v>139423.70158622705</v>
      </c>
      <c r="C267" s="91" t="s">
        <v>199</v>
      </c>
      <c r="D267" s="91"/>
      <c r="E267" s="91"/>
      <c r="F267" s="10"/>
      <c r="G267" s="10"/>
    </row>
    <row r="269" spans="1:10" x14ac:dyDescent="0.25">
      <c r="A269" s="1" t="s">
        <v>198</v>
      </c>
      <c r="B269" s="5">
        <f>B267/B266-1</f>
        <v>9.0952281582371342E-2</v>
      </c>
    </row>
    <row r="270" spans="1:10" x14ac:dyDescent="0.25">
      <c r="A270" s="1" t="s">
        <v>26</v>
      </c>
      <c r="B270" s="7">
        <f>(1+B269)^(12/8)-1</f>
        <v>0.13948505188752125</v>
      </c>
    </row>
  </sheetData>
  <mergeCells count="21">
    <mergeCell ref="A221:J221"/>
    <mergeCell ref="A257:J257"/>
    <mergeCell ref="A165:J165"/>
    <mergeCell ref="A179:J179"/>
    <mergeCell ref="A191:J191"/>
    <mergeCell ref="A200:J200"/>
    <mergeCell ref="A211:J211"/>
    <mergeCell ref="A1:J1"/>
    <mergeCell ref="A120:J120"/>
    <mergeCell ref="A131:J131"/>
    <mergeCell ref="A37:J37"/>
    <mergeCell ref="A60:J60"/>
    <mergeCell ref="A72:J72"/>
    <mergeCell ref="A95:J95"/>
    <mergeCell ref="A107:J107"/>
    <mergeCell ref="A145:J145"/>
    <mergeCell ref="A156:J156"/>
    <mergeCell ref="A2:J2"/>
    <mergeCell ref="A10:J10"/>
    <mergeCell ref="A17:J17"/>
    <mergeCell ref="A25:J2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מועד ב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Abramoviz Shiri</dc:creator>
  <cp:lastModifiedBy>Gali Ingber</cp:lastModifiedBy>
  <dcterms:created xsi:type="dcterms:W3CDTF">2024-03-18T06:16:20Z</dcterms:created>
  <dcterms:modified xsi:type="dcterms:W3CDTF">2024-04-04T17:17:00Z</dcterms:modified>
</cp:coreProperties>
</file>