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timelines/timeline1.xml" ContentType="application/vnd.ms-excel.timelin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C:\Users\משתמש\Desktop\אקסל השלמות\"/>
    </mc:Choice>
  </mc:AlternateContent>
  <xr:revisionPtr revIDLastSave="0" documentId="8_{15C3270C-FC50-4893-95ED-798BB3B08171}" xr6:coauthVersionLast="47" xr6:coauthVersionMax="47" xr10:uidLastSave="{00000000-0000-0000-0000-000000000000}"/>
  <bookViews>
    <workbookView xWindow="-108" yWindow="-108" windowWidth="30936" windowHeight="16896" activeTab="2" xr2:uid="{00000000-000D-0000-FFFF-FFFF00000000}"/>
  </bookViews>
  <sheets>
    <sheet name="פרטים" sheetId="3" r:id="rId1"/>
    <sheet name="נתוני עזר" sheetId="2" r:id="rId2"/>
    <sheet name="טיולים" sheetId="1" r:id="rId3"/>
    <sheet name="גרף" sheetId="7" r:id="rId4"/>
    <sheet name="דוח" sheetId="8" r:id="rId5"/>
    <sheet name="טיולים 1" sheetId="5" r:id="rId6"/>
    <sheet name="מבצע לחג" sheetId="9" r:id="rId7"/>
  </sheets>
  <definedNames>
    <definedName name="_xlnm._FilterDatabase" localSheetId="5" hidden="1">'טיולים 1'!$A$1:$L$32</definedName>
    <definedName name="CostVisa">'נתוני עזר'!$A$11:$B$15</definedName>
    <definedName name="_xlnm.Criteria" localSheetId="5">'טיולים 1'!$P$4:$Q$5</definedName>
    <definedName name="_xlnm.Extract" localSheetId="5">'טיולים 1'!$Q$7:$AB$7</definedName>
    <definedName name="NativeTimeline_תאריך_מתוכנן_ליציאה_לטיול">#N/A</definedName>
  </definedNames>
  <calcPr calcId="191029"/>
  <pivotCaches>
    <pivotCache cacheId="0" r:id="rId8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9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5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2" i="1"/>
  <c r="AB9" i="9" l="1"/>
  <c r="AB12" i="9" s="1"/>
  <c r="AC12" i="9" l="1"/>
  <c r="P32" i="9" l="1"/>
  <c r="N32" i="9"/>
  <c r="M32" i="9"/>
  <c r="O32" i="9" s="1"/>
  <c r="K32" i="9"/>
  <c r="L32" i="9" s="1"/>
  <c r="P31" i="9"/>
  <c r="N31" i="9"/>
  <c r="M31" i="9"/>
  <c r="O31" i="9" s="1"/>
  <c r="K31" i="9"/>
  <c r="L31" i="9" s="1"/>
  <c r="P30" i="9"/>
  <c r="O30" i="9"/>
  <c r="N30" i="9"/>
  <c r="M30" i="9"/>
  <c r="K30" i="9"/>
  <c r="L30" i="9" s="1"/>
  <c r="P29" i="9"/>
  <c r="O29" i="9"/>
  <c r="N29" i="9"/>
  <c r="M29" i="9"/>
  <c r="K29" i="9"/>
  <c r="L29" i="9" s="1"/>
  <c r="P28" i="9"/>
  <c r="N28" i="9"/>
  <c r="M28" i="9"/>
  <c r="O28" i="9" s="1"/>
  <c r="K28" i="9"/>
  <c r="L28" i="9" s="1"/>
  <c r="P27" i="9"/>
  <c r="O27" i="9"/>
  <c r="N27" i="9"/>
  <c r="M27" i="9"/>
  <c r="K27" i="9"/>
  <c r="L27" i="9" s="1"/>
  <c r="P26" i="9"/>
  <c r="N26" i="9"/>
  <c r="M26" i="9"/>
  <c r="O26" i="9" s="1"/>
  <c r="K26" i="9"/>
  <c r="L26" i="9" s="1"/>
  <c r="P25" i="9"/>
  <c r="N25" i="9"/>
  <c r="M25" i="9"/>
  <c r="O25" i="9" s="1"/>
  <c r="K25" i="9"/>
  <c r="L25" i="9" s="1"/>
  <c r="P24" i="9"/>
  <c r="N24" i="9"/>
  <c r="M24" i="9"/>
  <c r="O24" i="9" s="1"/>
  <c r="K24" i="9"/>
  <c r="L24" i="9" s="1"/>
  <c r="P23" i="9"/>
  <c r="N23" i="9"/>
  <c r="M23" i="9"/>
  <c r="O23" i="9" s="1"/>
  <c r="K23" i="9"/>
  <c r="L23" i="9" s="1"/>
  <c r="P22" i="9"/>
  <c r="N22" i="9"/>
  <c r="M22" i="9"/>
  <c r="O22" i="9" s="1"/>
  <c r="K22" i="9"/>
  <c r="L22" i="9" s="1"/>
  <c r="P21" i="9"/>
  <c r="O21" i="9"/>
  <c r="N21" i="9"/>
  <c r="M21" i="9"/>
  <c r="K21" i="9"/>
  <c r="L21" i="9" s="1"/>
  <c r="S20" i="9" a="1"/>
  <c r="S22" i="9" s="1"/>
  <c r="P20" i="9"/>
  <c r="O20" i="9"/>
  <c r="N20" i="9"/>
  <c r="M20" i="9"/>
  <c r="K20" i="9"/>
  <c r="L20" i="9" s="1"/>
  <c r="P19" i="9"/>
  <c r="N19" i="9"/>
  <c r="M19" i="9"/>
  <c r="O19" i="9" s="1"/>
  <c r="K19" i="9"/>
  <c r="L19" i="9" s="1"/>
  <c r="P18" i="9"/>
  <c r="N18" i="9"/>
  <c r="M18" i="9"/>
  <c r="O18" i="9" s="1"/>
  <c r="K18" i="9"/>
  <c r="L18" i="9" s="1"/>
  <c r="P17" i="9"/>
  <c r="O17" i="9"/>
  <c r="N17" i="9"/>
  <c r="M17" i="9"/>
  <c r="K17" i="9"/>
  <c r="L17" i="9" s="1"/>
  <c r="P16" i="9"/>
  <c r="O16" i="9"/>
  <c r="N16" i="9"/>
  <c r="M16" i="9"/>
  <c r="K16" i="9"/>
  <c r="L16" i="9" s="1"/>
  <c r="P15" i="9"/>
  <c r="O15" i="9"/>
  <c r="N15" i="9"/>
  <c r="M15" i="9"/>
  <c r="K15" i="9"/>
  <c r="L15" i="9" s="1"/>
  <c r="P14" i="9"/>
  <c r="O14" i="9"/>
  <c r="N14" i="9"/>
  <c r="M14" i="9"/>
  <c r="K14" i="9"/>
  <c r="L14" i="9" s="1"/>
  <c r="P13" i="9"/>
  <c r="O13" i="9"/>
  <c r="N13" i="9"/>
  <c r="M13" i="9"/>
  <c r="K13" i="9"/>
  <c r="L13" i="9" s="1"/>
  <c r="P12" i="9"/>
  <c r="N12" i="9"/>
  <c r="M12" i="9"/>
  <c r="O12" i="9" s="1"/>
  <c r="K12" i="9"/>
  <c r="L12" i="9" s="1"/>
  <c r="P11" i="9"/>
  <c r="O11" i="9"/>
  <c r="N11" i="9"/>
  <c r="M11" i="9"/>
  <c r="K11" i="9"/>
  <c r="L11" i="9" s="1"/>
  <c r="P10" i="9"/>
  <c r="N10" i="9"/>
  <c r="M10" i="9"/>
  <c r="O10" i="9" s="1"/>
  <c r="K10" i="9"/>
  <c r="L10" i="9" s="1"/>
  <c r="P9" i="9"/>
  <c r="O9" i="9"/>
  <c r="N9" i="9"/>
  <c r="M9" i="9"/>
  <c r="K9" i="9"/>
  <c r="L9" i="9" s="1"/>
  <c r="P8" i="9"/>
  <c r="O8" i="9"/>
  <c r="N8" i="9"/>
  <c r="M8" i="9"/>
  <c r="K8" i="9"/>
  <c r="L8" i="9" s="1"/>
  <c r="P7" i="9"/>
  <c r="O7" i="9"/>
  <c r="N7" i="9"/>
  <c r="M7" i="9"/>
  <c r="K7" i="9"/>
  <c r="L7" i="9" s="1"/>
  <c r="P6" i="9"/>
  <c r="O6" i="9"/>
  <c r="N6" i="9"/>
  <c r="M6" i="9"/>
  <c r="K6" i="9"/>
  <c r="L6" i="9" s="1"/>
  <c r="P5" i="9"/>
  <c r="N5" i="9"/>
  <c r="M5" i="9"/>
  <c r="O5" i="9" s="1"/>
  <c r="K5" i="9"/>
  <c r="L5" i="9" s="1"/>
  <c r="P4" i="9"/>
  <c r="O4" i="9"/>
  <c r="N4" i="9"/>
  <c r="M4" i="9"/>
  <c r="K4" i="9"/>
  <c r="L4" i="9" s="1"/>
  <c r="P3" i="9"/>
  <c r="O3" i="9"/>
  <c r="N3" i="9"/>
  <c r="M3" i="9"/>
  <c r="K3" i="9"/>
  <c r="L3" i="9" s="1"/>
  <c r="P2" i="9"/>
  <c r="O2" i="9"/>
  <c r="N2" i="9"/>
  <c r="M2" i="9"/>
  <c r="K2" i="9"/>
  <c r="L2" i="9" s="1"/>
  <c r="R20" i="1" a="1"/>
  <c r="R23" i="1" s="1"/>
  <c r="N3" i="1"/>
  <c r="N4" i="1"/>
  <c r="N6" i="1"/>
  <c r="N7" i="1"/>
  <c r="N8" i="1"/>
  <c r="N9" i="1"/>
  <c r="N11" i="1"/>
  <c r="N13" i="1"/>
  <c r="N14" i="1"/>
  <c r="N15" i="1"/>
  <c r="N16" i="1"/>
  <c r="N17" i="1"/>
  <c r="N20" i="1"/>
  <c r="N21" i="1"/>
  <c r="N27" i="1"/>
  <c r="N29" i="1"/>
  <c r="N30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2" i="1"/>
  <c r="J2" i="1"/>
  <c r="K2" i="1" s="1"/>
  <c r="S21" i="9" l="1"/>
  <c r="R2" i="9"/>
  <c r="R8" i="9" s="1"/>
  <c r="S23" i="9"/>
  <c r="R28" i="9" s="1"/>
  <c r="S20" i="9"/>
  <c r="R22" i="1"/>
  <c r="Q28" i="1" s="1"/>
  <c r="R21" i="1"/>
  <c r="R20" i="1"/>
  <c r="R27" i="9" l="1"/>
  <c r="R29" i="9" s="1"/>
  <c r="Q27" i="1"/>
  <c r="Q29" i="1" s="1"/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2" i="1"/>
  <c r="L32" i="5" l="1"/>
  <c r="J32" i="5"/>
  <c r="K32" i="5" s="1"/>
  <c r="L31" i="5"/>
  <c r="J31" i="5"/>
  <c r="K31" i="5" s="1"/>
  <c r="L30" i="5"/>
  <c r="J30" i="5"/>
  <c r="K30" i="5" s="1"/>
  <c r="L29" i="5"/>
  <c r="J29" i="5"/>
  <c r="K29" i="5" s="1"/>
  <c r="L28" i="5"/>
  <c r="J28" i="5"/>
  <c r="K28" i="5" s="1"/>
  <c r="L27" i="5"/>
  <c r="J27" i="5"/>
  <c r="K27" i="5" s="1"/>
  <c r="L26" i="5"/>
  <c r="J26" i="5"/>
  <c r="K26" i="5" s="1"/>
  <c r="L25" i="5"/>
  <c r="J25" i="5"/>
  <c r="K25" i="5" s="1"/>
  <c r="L24" i="5"/>
  <c r="J24" i="5"/>
  <c r="K24" i="5" s="1"/>
  <c r="L23" i="5"/>
  <c r="J23" i="5"/>
  <c r="K23" i="5" s="1"/>
  <c r="L22" i="5"/>
  <c r="J22" i="5"/>
  <c r="K22" i="5" s="1"/>
  <c r="L21" i="5"/>
  <c r="J21" i="5"/>
  <c r="K21" i="5" s="1"/>
  <c r="L20" i="5"/>
  <c r="J20" i="5"/>
  <c r="K20" i="5" s="1"/>
  <c r="L19" i="5"/>
  <c r="J19" i="5"/>
  <c r="K19" i="5" s="1"/>
  <c r="L18" i="5"/>
  <c r="J18" i="5"/>
  <c r="K18" i="5" s="1"/>
  <c r="L17" i="5"/>
  <c r="J17" i="5"/>
  <c r="K17" i="5" s="1"/>
  <c r="L16" i="5"/>
  <c r="J16" i="5"/>
  <c r="K16" i="5" s="1"/>
  <c r="L15" i="5"/>
  <c r="J15" i="5"/>
  <c r="K15" i="5" s="1"/>
  <c r="L14" i="5"/>
  <c r="J14" i="5"/>
  <c r="K14" i="5" s="1"/>
  <c r="L13" i="5"/>
  <c r="J13" i="5"/>
  <c r="K13" i="5" s="1"/>
  <c r="L12" i="5"/>
  <c r="J12" i="5"/>
  <c r="K12" i="5" s="1"/>
  <c r="L11" i="5"/>
  <c r="J11" i="5"/>
  <c r="K11" i="5" s="1"/>
  <c r="L10" i="5"/>
  <c r="J10" i="5"/>
  <c r="K10" i="5" s="1"/>
  <c r="L9" i="5"/>
  <c r="J9" i="5"/>
  <c r="K9" i="5" s="1"/>
  <c r="L8" i="5"/>
  <c r="J8" i="5"/>
  <c r="K8" i="5" s="1"/>
  <c r="L7" i="5"/>
  <c r="J7" i="5"/>
  <c r="K7" i="5" s="1"/>
  <c r="L6" i="5"/>
  <c r="J6" i="5"/>
  <c r="K6" i="5" s="1"/>
  <c r="L5" i="5"/>
  <c r="J5" i="5"/>
  <c r="K5" i="5" s="1"/>
  <c r="L4" i="5"/>
  <c r="J4" i="5"/>
  <c r="K4" i="5" s="1"/>
  <c r="L3" i="5"/>
  <c r="J3" i="5"/>
  <c r="K3" i="5" s="1"/>
  <c r="L2" i="5"/>
  <c r="J2" i="5"/>
  <c r="K2" i="5" s="1"/>
  <c r="N5" i="1"/>
  <c r="N10" i="1"/>
  <c r="N12" i="1"/>
  <c r="N18" i="1"/>
  <c r="N19" i="1"/>
  <c r="N22" i="1"/>
  <c r="N23" i="1"/>
  <c r="N24" i="1"/>
  <c r="N25" i="1"/>
  <c r="N26" i="1"/>
  <c r="N28" i="1"/>
  <c r="N31" i="1"/>
  <c r="N32" i="1"/>
  <c r="J3" i="1"/>
  <c r="K3" i="1" s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X6" i="1" l="1"/>
  <c r="W18" i="1" s="1"/>
  <c r="B14" i="7"/>
  <c r="B12" i="7"/>
  <c r="B15" i="7"/>
  <c r="B13" i="7"/>
  <c r="Q2" i="1"/>
  <c r="Q8" i="1" s="1"/>
</calcChain>
</file>

<file path=xl/sharedStrings.xml><?xml version="1.0" encoding="utf-8"?>
<sst xmlns="http://schemas.openxmlformats.org/spreadsheetml/2006/main" count="524" uniqueCount="80">
  <si>
    <t>מספר זהות</t>
  </si>
  <si>
    <t>יעד טיול</t>
  </si>
  <si>
    <t>מספר ימי טיול</t>
  </si>
  <si>
    <t>מספר מבוגרים</t>
  </si>
  <si>
    <t>מספר ילדים</t>
  </si>
  <si>
    <t>דרישת ויזה</t>
  </si>
  <si>
    <t>קבוצה סגורה</t>
  </si>
  <si>
    <t>גודל אוטובוס</t>
  </si>
  <si>
    <t>כן</t>
  </si>
  <si>
    <t>Large</t>
  </si>
  <si>
    <t>לא</t>
  </si>
  <si>
    <t>Mini</t>
  </si>
  <si>
    <t>Midi</t>
  </si>
  <si>
    <t>לונדון</t>
  </si>
  <si>
    <t>בנגקוק</t>
  </si>
  <si>
    <t>בילינסון</t>
  </si>
  <si>
    <t>זיגל</t>
  </si>
  <si>
    <t>אברהמי</t>
  </si>
  <si>
    <t>תומר</t>
  </si>
  <si>
    <t>צווייג</t>
  </si>
  <si>
    <t>ביטון</t>
  </si>
  <si>
    <t>תמרי</t>
  </si>
  <si>
    <t>אהוביה</t>
  </si>
  <si>
    <t>פוירשטיין</t>
  </si>
  <si>
    <t>נתן</t>
  </si>
  <si>
    <t>ישי</t>
  </si>
  <si>
    <t>גונן</t>
  </si>
  <si>
    <t>שלום</t>
  </si>
  <si>
    <t>אבוטבול</t>
  </si>
  <si>
    <t>ברוג</t>
  </si>
  <si>
    <t>קדמון</t>
  </si>
  <si>
    <t>מהללאל</t>
  </si>
  <si>
    <t>בן דוד</t>
  </si>
  <si>
    <t>בן משה</t>
  </si>
  <si>
    <t>ירדני</t>
  </si>
  <si>
    <t>ישראלי</t>
  </si>
  <si>
    <t>אליהו</t>
  </si>
  <si>
    <t>רגב</t>
  </si>
  <si>
    <t>דרשן</t>
  </si>
  <si>
    <t>בוזגלו</t>
  </si>
  <si>
    <t>שטיין</t>
  </si>
  <si>
    <t>גולדשטיין</t>
  </si>
  <si>
    <t>חורש</t>
  </si>
  <si>
    <t>ישראל</t>
  </si>
  <si>
    <t>מרציאנו</t>
  </si>
  <si>
    <t>שם</t>
  </si>
  <si>
    <t>כהן</t>
  </si>
  <si>
    <t>ניו יורק</t>
  </si>
  <si>
    <t>ת"ז</t>
  </si>
  <si>
    <t>מרצה</t>
  </si>
  <si>
    <t>יום לימוד</t>
  </si>
  <si>
    <t>שעת לימוד</t>
  </si>
  <si>
    <t xml:space="preserve">מעבדת מבחן </t>
  </si>
  <si>
    <t>עלות טיול בדולר</t>
  </si>
  <si>
    <t>שעור הדולר</t>
  </si>
  <si>
    <t>עלות טיול כוללת בש"ח</t>
  </si>
  <si>
    <t>פריז</t>
  </si>
  <si>
    <t>עלות טיול בש"ח לאחר הנחה</t>
  </si>
  <si>
    <t>תאריך מתוכנן ליציאה לטיול</t>
  </si>
  <si>
    <t>עלות ויזה לאדם</t>
  </si>
  <si>
    <t xml:space="preserve">תאריך מתוכנן ליציאה לטיול </t>
  </si>
  <si>
    <t>סך עלות הויזה</t>
  </si>
  <si>
    <t>נא לפנות למדריך</t>
  </si>
  <si>
    <t>סכום כולל</t>
  </si>
  <si>
    <t>תוויות שורה</t>
  </si>
  <si>
    <t>2017</t>
  </si>
  <si>
    <t>2018</t>
  </si>
  <si>
    <t>מקסימום של עלות טיול בש"ח לאחר הנחה</t>
  </si>
  <si>
    <t>ויזה</t>
  </si>
  <si>
    <t>דרישות ויזה פתרון נוסף</t>
  </si>
  <si>
    <t xml:space="preserve">ממוצע עלות לאחר הנחה </t>
  </si>
  <si>
    <t>שאלה 3 ב</t>
  </si>
  <si>
    <t>שאלה 3 א</t>
  </si>
  <si>
    <t>תאריך הטיול בפועל</t>
  </si>
  <si>
    <t>ממוצע של עלות טיול בש"ח לאחר הנחה</t>
  </si>
  <si>
    <t>שאלה 6 א</t>
  </si>
  <si>
    <t>שאלה 6 ב</t>
  </si>
  <si>
    <t xml:space="preserve">מספר </t>
  </si>
  <si>
    <t>כמות הילדים</t>
  </si>
  <si>
    <t>אחוז הנחה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</si>
</sst>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₪-40D]\ * #,##0_ ;_ [$₪-40D]\ * \-#,##0_ ;_ [$₪-40D]\ * &quot;-&quot;??_ ;_ @_ "/>
  </numFmts>
  <fonts count="7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1"/>
      <color theme="1"/>
      <name val="Arial"/>
      <family val="2"/>
      <scheme val="minor"/>
    </font>
    <font>
      <b/>
      <sz val="11"/>
      <color theme="1"/>
      <name val="David"/>
      <family val="2"/>
    </font>
    <font>
      <sz val="11"/>
      <color theme="1"/>
      <name val="David"/>
      <family val="2"/>
    </font>
    <font>
      <b/>
      <sz val="11"/>
      <color rgb="FFFF0000"/>
      <name val="David"/>
      <family val="2"/>
    </font>
    <font>
      <b/>
      <sz val="12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1" fillId="0" borderId="0" xfId="0" applyNumberFormat="1" applyFont="1"/>
    <xf numFmtId="0" fontId="0" fillId="0" borderId="0" xfId="0" pivotButton="1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right"/>
    </xf>
    <xf numFmtId="14" fontId="4" fillId="0" borderId="0" xfId="0" applyNumberFormat="1" applyFont="1"/>
    <xf numFmtId="164" fontId="4" fillId="0" borderId="0" xfId="0" applyNumberFormat="1" applyFont="1"/>
    <xf numFmtId="9" fontId="4" fillId="0" borderId="0" xfId="0" applyNumberFormat="1" applyFont="1"/>
    <xf numFmtId="0" fontId="5" fillId="0" borderId="0" xfId="0" applyFont="1"/>
    <xf numFmtId="0" fontId="4" fillId="0" borderId="7" xfId="0" applyFont="1" applyBorder="1"/>
    <xf numFmtId="0" fontId="4" fillId="0" borderId="8" xfId="0" applyFont="1" applyBorder="1"/>
    <xf numFmtId="0" fontId="4" fillId="0" borderId="8" xfId="0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3" xfId="0" applyFont="1" applyBorder="1" applyAlignment="1">
      <alignment horizontal="right"/>
    </xf>
    <xf numFmtId="0" fontId="4" fillId="0" borderId="14" xfId="0" applyFont="1" applyBorder="1"/>
    <xf numFmtId="0" fontId="6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6" fillId="0" borderId="15" xfId="0" applyFont="1" applyBorder="1" applyAlignment="1">
      <alignment horizontal="center" vertical="center" wrapText="1"/>
    </xf>
    <xf numFmtId="0" fontId="4" fillId="0" borderId="15" xfId="0" applyFont="1" applyBorder="1"/>
    <xf numFmtId="0" fontId="3" fillId="3" borderId="0" xfId="0" applyFont="1" applyFill="1" applyAlignment="1">
      <alignment horizontal="center" vertical="center" wrapText="1"/>
    </xf>
    <xf numFmtId="9" fontId="4" fillId="3" borderId="0" xfId="0" applyNumberFormat="1" applyFont="1" applyFill="1"/>
    <xf numFmtId="0" fontId="4" fillId="3" borderId="0" xfId="0" applyFont="1" applyFill="1"/>
    <xf numFmtId="0" fontId="4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1/relationships/timelineCache" Target="timelineCaches/timelineCach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[טיולים.xlsx]גרף!PivotTable1</c:name>
    <c:fmtId val="3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FF00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גרף!$B$3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AA6-45DC-9E19-CCDC6605D0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גרף!$A$4:$A$8</c:f>
              <c:strCache>
                <c:ptCount val="4"/>
                <c:pt idx="0">
                  <c:v>בנגקוק</c:v>
                </c:pt>
                <c:pt idx="1">
                  <c:v>לונדון</c:v>
                </c:pt>
                <c:pt idx="2">
                  <c:v>ניו יורק</c:v>
                </c:pt>
                <c:pt idx="3">
                  <c:v>פריז</c:v>
                </c:pt>
              </c:strCache>
            </c:strRef>
          </c:cat>
          <c:val>
            <c:numRef>
              <c:f>גרף!$B$4:$B$8</c:f>
              <c:numCache>
                <c:formatCode>General</c:formatCode>
                <c:ptCount val="4"/>
                <c:pt idx="0">
                  <c:v>24336</c:v>
                </c:pt>
                <c:pt idx="1">
                  <c:v>24388.2</c:v>
                </c:pt>
                <c:pt idx="2">
                  <c:v>25422</c:v>
                </c:pt>
                <c:pt idx="3">
                  <c:v>23624.86153846154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6-45DC-9E19-CCDC6605D09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8845040"/>
        <c:axId val="498845696"/>
      </c:barChart>
      <c:catAx>
        <c:axId val="49884504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98845696"/>
        <c:crosses val="autoZero"/>
        <c:auto val="1"/>
        <c:lblAlgn val="ctr"/>
        <c:lblOffset val="100"/>
        <c:noMultiLvlLbl val="0"/>
      </c:catAx>
      <c:valAx>
        <c:axId val="49884569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98845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121920</xdr:colOff>
      <xdr:row>20</xdr:row>
      <xdr:rowOff>99060</xdr:rowOff>
    </xdr:from>
    <xdr:to>
      <xdr:col>17</xdr:col>
      <xdr:colOff>49588</xdr:colOff>
      <xdr:row>33</xdr:row>
      <xdr:rowOff>34686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3A143F63-150E-33E8-C6C6-D1BE3B88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4439012" y="4198620"/>
          <a:ext cx="8469688" cy="22140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252413</xdr:colOff>
      <xdr:row>1</xdr:row>
      <xdr:rowOff>147637</xdr:rowOff>
    </xdr:from>
    <xdr:to>
      <xdr:col>10</xdr:col>
      <xdr:colOff>280988</xdr:colOff>
      <xdr:row>16</xdr:row>
      <xdr:rowOff>176212</xdr:rowOff>
    </xdr:to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2</xdr:row>
      <xdr:rowOff>19050</xdr:rowOff>
    </xdr:from>
    <xdr:to>
      <xdr:col>8</xdr:col>
      <xdr:colOff>133350</xdr:colOff>
      <xdr:row>9</xdr:row>
      <xdr:rowOff>95250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תאריך מתוכנן ליציאה לטיול ">
              <a:extLst>
                <a:ext uri="{FF2B5EF4-FFF2-40B4-BE49-F238E27FC236}">
                  <a16:creationId xmlns:a16="http://schemas.microsoft.com/office/drawing/2014/main" id="{00000000-0008-0000-04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תאריך מתוכנן ליציאה לטיול 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0527450" y="381000"/>
              <a:ext cx="3333750" cy="1343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e-IL" sz="1100"/>
                <a:t>ציר זמן: עובד ב- Excel 2013 ואילך. אל תזיז או תשנה גודל.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el" refreshedDate="42833.383816898146" createdVersion="6" refreshedVersion="6" minRefreshableVersion="3" recordCount="31" xr:uid="{00000000-000A-0000-FFFF-FFFF00000000}">
  <cacheSource type="worksheet">
    <worksheetSource ref="A1:O32" sheet="טיולים"/>
  </cacheSource>
  <cacheFields count="16">
    <cacheField name="מספר זהות" numFmtId="0">
      <sharedItems containsSemiMixedTypes="0" containsString="0" containsNumber="1" containsInteger="1" minValue="1926" maxValue="9238"/>
    </cacheField>
    <cacheField name="שם" numFmtId="0">
      <sharedItems/>
    </cacheField>
    <cacheField name="תאריך מתוכנן ליציאה לטיול " numFmtId="14">
      <sharedItems containsSemiMixedTypes="0" containsNonDate="0" containsDate="1" containsString="0" minDate="2017-02-19T00:00:00" maxDate="2018-12-19T00:00:00" count="30">
        <d v="2018-04-20T00:00:00"/>
        <d v="2018-03-05T00:00:00"/>
        <d v="2018-02-09T00:00:00"/>
        <d v="2018-08-17T00:00:00"/>
        <d v="2017-05-11T00:00:00"/>
        <d v="2017-09-18T00:00:00"/>
        <d v="2018-04-04T00:00:00"/>
        <d v="2017-11-23T00:00:00"/>
        <d v="2017-05-13T00:00:00"/>
        <d v="2017-11-12T00:00:00"/>
        <d v="2018-12-18T00:00:00"/>
        <d v="2017-03-25T00:00:00"/>
        <d v="2018-02-16T00:00:00"/>
        <d v="2017-03-15T00:00:00"/>
        <d v="2017-05-19T00:00:00"/>
        <d v="2018-05-26T00:00:00"/>
        <d v="2018-01-18T00:00:00"/>
        <d v="2017-07-31T00:00:00"/>
        <d v="2018-05-27T00:00:00"/>
        <d v="2017-02-19T00:00:00"/>
        <d v="2017-10-02T00:00:00"/>
        <d v="2017-05-02T00:00:00"/>
        <d v="2018-07-30T00:00:00"/>
        <d v="2017-03-28T00:00:00"/>
        <d v="2018-01-06T00:00:00"/>
        <d v="2018-06-23T00:00:00"/>
        <d v="2018-01-05T00:00:00"/>
        <d v="2018-05-16T00:00:00"/>
        <d v="2017-07-07T00:00:00"/>
        <d v="2017-07-18T00:00:00"/>
      </sharedItems>
      <fieldGroup par="15" base="2">
        <rangePr groupBy="months" startDate="2017-02-19T00:00:00" endDate="2018-12-19T00:00:00"/>
        <groupItems count="14">
          <s v="&lt;19/02/2017"/>
          <s v="ינו"/>
          <s v="פבר"/>
          <s v="מרץ"/>
          <s v="אפר"/>
          <s v="מאי"/>
          <s v="יונ"/>
          <s v="יול"/>
          <s v="אוג"/>
          <s v="ספט"/>
          <s v="אוק"/>
          <s v="נוב"/>
          <s v="דצמ"/>
          <s v="&gt;19/12/2018"/>
        </groupItems>
      </fieldGroup>
    </cacheField>
    <cacheField name="יעד טיול" numFmtId="0">
      <sharedItems count="4">
        <s v="בנגקוק"/>
        <s v="פריז"/>
        <s v="לונדון"/>
        <s v="ניו יורק"/>
      </sharedItems>
    </cacheField>
    <cacheField name="מספר ימי טיול" numFmtId="0">
      <sharedItems containsSemiMixedTypes="0" containsString="0" containsNumber="1" containsInteger="1" minValue="4" maxValue="37" count="23">
        <n v="37"/>
        <n v="21"/>
        <n v="5"/>
        <n v="12"/>
        <n v="35"/>
        <n v="15"/>
        <n v="13"/>
        <n v="11"/>
        <n v="7"/>
        <n v="20"/>
        <n v="16"/>
        <n v="8"/>
        <n v="18"/>
        <n v="28"/>
        <n v="24"/>
        <n v="14"/>
        <n v="34"/>
        <n v="6"/>
        <n v="32"/>
        <n v="4"/>
        <n v="26"/>
        <n v="23"/>
        <n v="25"/>
      </sharedItems>
    </cacheField>
    <cacheField name="מספר מבוגרים" numFmtId="0">
      <sharedItems containsSemiMixedTypes="0" containsString="0" containsNumber="1" containsInteger="1" minValue="1" maxValue="12" count="12">
        <n v="6"/>
        <n v="2"/>
        <n v="1"/>
        <n v="10"/>
        <n v="12"/>
        <n v="7"/>
        <n v="8"/>
        <n v="11"/>
        <n v="3"/>
        <n v="9"/>
        <n v="4"/>
        <n v="5"/>
      </sharedItems>
    </cacheField>
    <cacheField name="מספר ילדים" numFmtId="0">
      <sharedItems containsSemiMixedTypes="0" containsString="0" containsNumber="1" containsInteger="1" minValue="0" maxValue="5"/>
    </cacheField>
    <cacheField name="קבוצה סגורה" numFmtId="0">
      <sharedItems/>
    </cacheField>
    <cacheField name="גודל אוטובוס" numFmtId="0">
      <sharedItems/>
    </cacheField>
    <cacheField name="עלות טיול כוללת בש&quot;ח" numFmtId="164">
      <sharedItems containsSemiMixedTypes="0" containsString="0" containsNumber="1" containsInteger="1" minValue="5184" maxValue="45144"/>
    </cacheField>
    <cacheField name="עלות טיול בש&quot;ח לאחר הנחה" numFmtId="164">
      <sharedItems containsSemiMixedTypes="0" containsString="0" containsNumber="1" minValue="5184" maxValue="45144"/>
    </cacheField>
    <cacheField name="דרישת ויזה" numFmtId="0">
      <sharedItems/>
    </cacheField>
    <cacheField name="תאריך סיום הטיול" numFmtId="0">
      <sharedItems containsNonDate="0" containsString="0" containsBlank="1" count="1">
        <m/>
      </sharedItems>
    </cacheField>
    <cacheField name="סך עלות הויזה" numFmtId="0">
      <sharedItems containsMixedTypes="1" containsNumber="1" containsInteger="1" minValue="0" maxValue="0"/>
    </cacheField>
    <cacheField name="רבעונים" numFmtId="0" databaseField="0">
      <fieldGroup base="2">
        <rangePr groupBy="quarters" startDate="2017-02-19T00:00:00" endDate="2018-12-19T00:00:00"/>
        <groupItems count="6">
          <s v="&lt;19/02/2017"/>
          <s v="רבע1"/>
          <s v="רבע2"/>
          <s v="רבע3"/>
          <s v="רבע4"/>
          <s v="&gt;19/12/2018"/>
        </groupItems>
      </fieldGroup>
    </cacheField>
    <cacheField name="שנים" numFmtId="0" databaseField="0">
      <fieldGroup base="2">
        <rangePr groupBy="years" startDate="2017-02-19T00:00:00" endDate="2018-12-19T00:00:00"/>
        <groupItems count="4">
          <s v="&lt;19/02/2017"/>
          <s v="2017"/>
          <s v="2018"/>
          <s v="&gt;19/12/2018"/>
        </groupItems>
      </fieldGroup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">
  <r>
    <n v="2260"/>
    <s v="אבוטבול"/>
    <x v="0"/>
    <x v="0"/>
    <x v="0"/>
    <x v="0"/>
    <n v="3"/>
    <s v="כן"/>
    <s v="Mini"/>
    <n v="25920"/>
    <n v="25920"/>
    <s v="לא"/>
    <x v="0"/>
    <n v="0"/>
  </r>
  <r>
    <n v="4578"/>
    <s v="אברהמי"/>
    <x v="1"/>
    <x v="1"/>
    <x v="1"/>
    <x v="1"/>
    <n v="4"/>
    <s v="כן"/>
    <s v="Large"/>
    <n v="10368"/>
    <n v="9331.2000000000007"/>
    <s v="לא"/>
    <x v="0"/>
    <n v="0"/>
  </r>
  <r>
    <n v="3423"/>
    <s v="אהוביה"/>
    <x v="2"/>
    <x v="0"/>
    <x v="2"/>
    <x v="2"/>
    <n v="3"/>
    <s v="כן"/>
    <s v="Midi"/>
    <n v="7920"/>
    <n v="7920"/>
    <s v="לא"/>
    <x v="0"/>
    <n v="0"/>
  </r>
  <r>
    <n v="7998"/>
    <s v="אליהו"/>
    <x v="3"/>
    <x v="0"/>
    <x v="3"/>
    <x v="3"/>
    <n v="2"/>
    <s v="לא"/>
    <s v="Large"/>
    <n v="38880"/>
    <n v="38880"/>
    <s v="לא"/>
    <x v="0"/>
    <n v="0"/>
  </r>
  <r>
    <n v="5327"/>
    <s v="בוזגלו"/>
    <x v="4"/>
    <x v="1"/>
    <x v="4"/>
    <x v="4"/>
    <n v="3"/>
    <s v="כן"/>
    <s v="Mini"/>
    <n v="38016"/>
    <n v="38016"/>
    <s v="לא"/>
    <x v="0"/>
    <n v="0"/>
  </r>
  <r>
    <n v="2976"/>
    <s v="ביטון"/>
    <x v="5"/>
    <x v="1"/>
    <x v="5"/>
    <x v="5"/>
    <n v="0"/>
    <s v="כן"/>
    <s v="Mini"/>
    <n v="20160"/>
    <n v="20160"/>
    <s v="לא"/>
    <x v="0"/>
    <n v="0"/>
  </r>
  <r>
    <n v="5985"/>
    <s v="בילינסון"/>
    <x v="6"/>
    <x v="0"/>
    <x v="6"/>
    <x v="6"/>
    <n v="3"/>
    <s v="כן"/>
    <s v="Large"/>
    <n v="33120"/>
    <n v="33120"/>
    <s v="לא"/>
    <x v="0"/>
    <n v="0"/>
  </r>
  <r>
    <n v="8973"/>
    <s v="בן דוד"/>
    <x v="7"/>
    <x v="2"/>
    <x v="0"/>
    <x v="7"/>
    <n v="2"/>
    <s v="כן"/>
    <s v="Large"/>
    <n v="36108"/>
    <n v="36108"/>
    <s v="לא"/>
    <x v="0"/>
    <n v="0"/>
  </r>
  <r>
    <n v="4517"/>
    <s v="בן משה"/>
    <x v="8"/>
    <x v="1"/>
    <x v="7"/>
    <x v="7"/>
    <n v="1"/>
    <s v="לא"/>
    <s v="Mini"/>
    <n v="32832"/>
    <n v="32832"/>
    <s v="לא"/>
    <x v="0"/>
    <n v="0"/>
  </r>
  <r>
    <n v="4970"/>
    <s v="ברוג"/>
    <x v="9"/>
    <x v="1"/>
    <x v="8"/>
    <x v="8"/>
    <n v="5"/>
    <s v="כן"/>
    <s v="Large"/>
    <n v="14400"/>
    <n v="14400"/>
    <s v="לא"/>
    <x v="0"/>
    <n v="0"/>
  </r>
  <r>
    <n v="4074"/>
    <s v="גולדשטיין"/>
    <x v="10"/>
    <x v="3"/>
    <x v="3"/>
    <x v="4"/>
    <n v="3"/>
    <s v="לא"/>
    <s v="Large"/>
    <n v="45144"/>
    <n v="45144"/>
    <s v="כן"/>
    <x v="0"/>
    <s v="נא לפנות למדריך"/>
  </r>
  <r>
    <n v="1926"/>
    <s v="גונן"/>
    <x v="11"/>
    <x v="1"/>
    <x v="9"/>
    <x v="0"/>
    <n v="0"/>
    <s v="כן"/>
    <s v="Large"/>
    <n v="17280"/>
    <n v="15552"/>
    <s v="לא"/>
    <x v="0"/>
    <n v="0"/>
  </r>
  <r>
    <n v="2018"/>
    <s v="דרשן"/>
    <x v="12"/>
    <x v="0"/>
    <x v="10"/>
    <x v="5"/>
    <n v="4"/>
    <s v="כן"/>
    <s v="Midi"/>
    <n v="30960"/>
    <n v="30960"/>
    <s v="לא"/>
    <x v="0"/>
    <n v="0"/>
  </r>
  <r>
    <n v="8150"/>
    <s v="זיגל"/>
    <x v="13"/>
    <x v="0"/>
    <x v="11"/>
    <x v="5"/>
    <n v="5"/>
    <s v="כן"/>
    <s v="Large"/>
    <n v="32400"/>
    <n v="32400"/>
    <s v="לא"/>
    <x v="0"/>
    <n v="0"/>
  </r>
  <r>
    <n v="1929"/>
    <s v="חורש"/>
    <x v="14"/>
    <x v="1"/>
    <x v="12"/>
    <x v="3"/>
    <n v="0"/>
    <s v="כן"/>
    <s v="Mini"/>
    <n v="28800"/>
    <n v="28800"/>
    <s v="לא"/>
    <x v="0"/>
    <n v="0"/>
  </r>
  <r>
    <n v="7754"/>
    <s v="ירדני"/>
    <x v="15"/>
    <x v="0"/>
    <x v="13"/>
    <x v="5"/>
    <n v="4"/>
    <s v="כן"/>
    <s v="Midi"/>
    <n v="30960"/>
    <n v="30960"/>
    <s v="לא"/>
    <x v="0"/>
    <n v="0"/>
  </r>
  <r>
    <n v="8437"/>
    <s v="ישי"/>
    <x v="16"/>
    <x v="1"/>
    <x v="14"/>
    <x v="9"/>
    <n v="3"/>
    <s v="לא"/>
    <s v="Mini"/>
    <n v="29376"/>
    <n v="29376"/>
    <s v="לא"/>
    <x v="0"/>
    <n v="0"/>
  </r>
  <r>
    <n v="2526"/>
    <s v="ישראל"/>
    <x v="17"/>
    <x v="1"/>
    <x v="15"/>
    <x v="3"/>
    <n v="0"/>
    <s v="לא"/>
    <s v="Large"/>
    <n v="28800"/>
    <n v="28800"/>
    <s v="לא"/>
    <x v="0"/>
    <n v="0"/>
  </r>
  <r>
    <n v="4433"/>
    <s v="ישראלי"/>
    <x v="12"/>
    <x v="3"/>
    <x v="15"/>
    <x v="8"/>
    <n v="3"/>
    <s v="כן"/>
    <s v="Midi"/>
    <n v="14364"/>
    <n v="14364"/>
    <s v="כן"/>
    <x v="0"/>
    <s v="נא לפנות למדריך"/>
  </r>
  <r>
    <n v="8460"/>
    <s v="כהן"/>
    <x v="18"/>
    <x v="0"/>
    <x v="9"/>
    <x v="1"/>
    <n v="5"/>
    <s v="כן"/>
    <s v="Mini"/>
    <n v="14400"/>
    <n v="14400"/>
    <s v="לא"/>
    <x v="0"/>
    <n v="0"/>
  </r>
  <r>
    <n v="8606"/>
    <s v="מהללאל"/>
    <x v="19"/>
    <x v="2"/>
    <x v="16"/>
    <x v="8"/>
    <n v="4"/>
    <s v="לא"/>
    <s v="Large"/>
    <n v="14076"/>
    <n v="12668.4"/>
    <s v="לא"/>
    <x v="0"/>
    <n v="0"/>
  </r>
  <r>
    <n v="8500"/>
    <s v="מרציאנו"/>
    <x v="20"/>
    <x v="3"/>
    <x v="13"/>
    <x v="9"/>
    <n v="5"/>
    <s v="לא"/>
    <s v="Large"/>
    <n v="37620"/>
    <n v="37620"/>
    <s v="כן"/>
    <x v="0"/>
    <s v="נא לפנות למדריך"/>
  </r>
  <r>
    <n v="2461"/>
    <s v="נתן"/>
    <x v="21"/>
    <x v="1"/>
    <x v="17"/>
    <x v="6"/>
    <n v="0"/>
    <s v="לא"/>
    <s v="Large"/>
    <n v="23040"/>
    <n v="23040"/>
    <s v="לא"/>
    <x v="0"/>
    <n v="0"/>
  </r>
  <r>
    <n v="4120"/>
    <s v="פוירשטיין"/>
    <x v="22"/>
    <x v="0"/>
    <x v="17"/>
    <x v="10"/>
    <n v="5"/>
    <s v="לא"/>
    <s v="Mini"/>
    <n v="21600"/>
    <n v="21600"/>
    <s v="לא"/>
    <x v="0"/>
    <n v="0"/>
  </r>
  <r>
    <n v="7005"/>
    <s v="צווייג"/>
    <x v="23"/>
    <x v="0"/>
    <x v="18"/>
    <x v="1"/>
    <n v="0"/>
    <s v="לא"/>
    <s v="Large"/>
    <n v="7200"/>
    <n v="7200"/>
    <s v="לא"/>
    <x v="0"/>
    <n v="0"/>
  </r>
  <r>
    <n v="3534"/>
    <s v="קדמון"/>
    <x v="24"/>
    <x v="3"/>
    <x v="19"/>
    <x v="11"/>
    <n v="5"/>
    <s v="כן"/>
    <s v="Large"/>
    <n v="23940"/>
    <n v="23940"/>
    <s v="כן"/>
    <x v="0"/>
    <s v="נא לפנות למדריך"/>
  </r>
  <r>
    <n v="7806"/>
    <s v="רגב"/>
    <x v="25"/>
    <x v="1"/>
    <x v="20"/>
    <x v="9"/>
    <n v="3"/>
    <s v="לא"/>
    <s v="Large"/>
    <n v="29376"/>
    <n v="29376"/>
    <s v="לא"/>
    <x v="0"/>
    <n v="0"/>
  </r>
  <r>
    <n v="2488"/>
    <s v="שטיין"/>
    <x v="26"/>
    <x v="3"/>
    <x v="15"/>
    <x v="5"/>
    <n v="0"/>
    <s v="כן"/>
    <s v="Mini"/>
    <n v="23940"/>
    <n v="23940"/>
    <s v="כן"/>
    <x v="0"/>
    <s v="נא לפנות למדריך"/>
  </r>
  <r>
    <n v="9238"/>
    <s v="שלום"/>
    <x v="27"/>
    <x v="1"/>
    <x v="2"/>
    <x v="3"/>
    <n v="3"/>
    <s v="כן"/>
    <s v="Large"/>
    <n v="32256"/>
    <n v="32256"/>
    <s v="לא"/>
    <x v="0"/>
    <n v="0"/>
  </r>
  <r>
    <n v="3418"/>
    <s v="תומר"/>
    <x v="28"/>
    <x v="3"/>
    <x v="21"/>
    <x v="2"/>
    <n v="3"/>
    <s v="לא"/>
    <s v="Mini"/>
    <n v="7524"/>
    <n v="7524"/>
    <s v="כן"/>
    <x v="0"/>
    <s v="נא לפנות למדריך"/>
  </r>
  <r>
    <n v="8783"/>
    <s v="תמרי"/>
    <x v="29"/>
    <x v="1"/>
    <x v="22"/>
    <x v="2"/>
    <n v="2"/>
    <s v="לא"/>
    <s v="Large"/>
    <n v="5184"/>
    <n v="5184"/>
    <s v="לא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0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4">
  <location ref="A3:B8" firstHeaderRow="1" firstDataRow="1" firstDataCol="1"/>
  <pivotFields count="16">
    <pivotField showAll="0"/>
    <pivotField showAll="0"/>
    <pivotField numFmtId="14" showAll="0"/>
    <pivotField axis="axisRow" showAll="0">
      <items count="5">
        <item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numFmtId="164" showAll="0"/>
    <pivotField dataField="1" numFmtId="164" showAll="0"/>
    <pivotField showAll="0"/>
    <pivotField showAll="0"/>
    <pivotField showAll="0"/>
    <pivotField showAll="0" defaultSubtotal="0"/>
    <pivotField showAll="0" defaultSubtota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ממוצע של עלות טיול בש&quot;ח לאחר הנחה" fld="10" subtotal="average" baseField="3" baseItem="0"/>
  </dataFields>
  <chartFormats count="2">
    <chartFormat chart="3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0" applyNumberFormats="0" applyBorderFormats="0" applyFontFormats="0" applyPatternFormats="0" applyAlignmentFormats="0" applyWidthHeightFormats="1" dataCaption="ערכים" updatedVersion="6" minRefreshableVersion="5" useAutoFormatting="1" itemPrintTitles="1" createdVersion="6" indent="0" outline="1" outlineData="1" multipleFieldFilters="0">
  <location ref="A3:B6" firstHeaderRow="1" firstDataRow="1" firstDataCol="1" rowPageCount="1" colPageCount="1"/>
  <pivotFields count="16">
    <pivotField showAll="0"/>
    <pivotField showAll="0"/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5">
        <item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numFmtId="164" showAll="0"/>
    <pivotField dataField="1" numFmtId="164" showAll="0"/>
    <pivotField showAll="0"/>
    <pivotField showAll="0"/>
    <pivotField showAll="0"/>
    <pivotField axis="axisRow" showAll="0" defaultSubtotal="0">
      <items count="6">
        <item sd="0" x="0"/>
        <item x="1"/>
        <item x="2"/>
        <item x="3"/>
        <item sd="0" x="4"/>
        <item sd="0" x="5"/>
      </items>
    </pivotField>
    <pivotField axis="axisRow" showAll="0" defaultSubtotal="0">
      <items count="4">
        <item sd="0" x="0"/>
        <item sd="0" x="1"/>
        <item sd="0" x="2"/>
        <item sd="0" x="3"/>
      </items>
    </pivotField>
  </pivotFields>
  <rowFields count="3">
    <field x="15"/>
    <field x="14"/>
    <field x="2"/>
  </rowFields>
  <rowItems count="3">
    <i>
      <x v="1"/>
    </i>
    <i>
      <x v="2"/>
    </i>
    <i t="grand">
      <x/>
    </i>
  </rowItems>
  <colItems count="1">
    <i/>
  </colItems>
  <pageFields count="1">
    <pageField fld="3" item="0" hier="-1"/>
  </pageFields>
  <dataFields count="1">
    <dataField name="מקסימום של עלות טיול בש&quot;ח לאחר הנחה" fld="10" subtotal="max" baseField="14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תאריך_מתוכנן_ליציאה_לטיול" xr10:uid="{00000000-0013-0000-FFFF-FFFF01000000}" sourceName="תאריך מתוכנן ליציאה לטיול ">
  <pivotTables>
    <pivotTable tabId="8" name="PivotTable2"/>
  </pivotTables>
  <state minimalRefreshVersion="6" lastRefreshVersion="6" pivotCacheId="1" filterType="unknown">
    <bounds startDate="2017-01-01T00:00:00" endDate="2019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תאריך מתוכנן ליציאה לטיול " xr10:uid="{00000000-0014-0000-FFFF-FFFF01000000}" cache="NativeTimeline_תאריך_מתוכנן_ליציאה_לטיול" caption="תאריך מתוכנן ליציאה לטיול " level="2" selectionLevel="2" scrollPosition="2017-02-18T00:00:00"/>
</timeline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/>
  <dimension ref="A1:B5"/>
  <sheetViews>
    <sheetView rightToLeft="1" workbookViewId="0"/>
  </sheetViews>
  <sheetFormatPr defaultColWidth="8.796875" defaultRowHeight="13.8" x14ac:dyDescent="0.25"/>
  <cols>
    <col min="1" max="1" width="10.796875" bestFit="1" customWidth="1"/>
  </cols>
  <sheetData>
    <row r="1" spans="1:2" x14ac:dyDescent="0.25">
      <c r="A1" s="6" t="s">
        <v>48</v>
      </c>
      <c r="B1" s="7"/>
    </row>
    <row r="2" spans="1:2" x14ac:dyDescent="0.25">
      <c r="A2" s="8" t="s">
        <v>49</v>
      </c>
      <c r="B2" s="9"/>
    </row>
    <row r="3" spans="1:2" x14ac:dyDescent="0.25">
      <c r="A3" s="8" t="s">
        <v>50</v>
      </c>
      <c r="B3" s="9"/>
    </row>
    <row r="4" spans="1:2" x14ac:dyDescent="0.25">
      <c r="A4" s="8" t="s">
        <v>51</v>
      </c>
      <c r="B4" s="9"/>
    </row>
    <row r="5" spans="1:2" x14ac:dyDescent="0.25">
      <c r="A5" s="10" t="s">
        <v>52</v>
      </c>
      <c r="B5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"/>
  <dimension ref="A1:F17"/>
  <sheetViews>
    <sheetView rightToLeft="1" workbookViewId="0"/>
  </sheetViews>
  <sheetFormatPr defaultColWidth="8.796875" defaultRowHeight="13.8" x14ac:dyDescent="0.25"/>
  <cols>
    <col min="1" max="1" width="14.5" customWidth="1"/>
    <col min="3" max="4" width="13.19921875" bestFit="1" customWidth="1"/>
  </cols>
  <sheetData>
    <row r="1" spans="1:6" x14ac:dyDescent="0.25">
      <c r="A1" s="5" t="s">
        <v>5</v>
      </c>
      <c r="B1" s="5" t="s">
        <v>1</v>
      </c>
      <c r="C1" s="5" t="s">
        <v>53</v>
      </c>
    </row>
    <row r="2" spans="1:6" x14ac:dyDescent="0.25">
      <c r="A2" t="s">
        <v>10</v>
      </c>
      <c r="B2" t="s">
        <v>14</v>
      </c>
      <c r="C2">
        <v>1000</v>
      </c>
      <c r="F2">
        <v>0.4</v>
      </c>
    </row>
    <row r="3" spans="1:6" x14ac:dyDescent="0.25">
      <c r="A3" t="s">
        <v>10</v>
      </c>
      <c r="B3" t="s">
        <v>56</v>
      </c>
      <c r="C3">
        <v>800</v>
      </c>
    </row>
    <row r="4" spans="1:6" x14ac:dyDescent="0.25">
      <c r="A4" t="s">
        <v>8</v>
      </c>
      <c r="B4" t="s">
        <v>47</v>
      </c>
      <c r="C4">
        <v>950</v>
      </c>
    </row>
    <row r="5" spans="1:6" x14ac:dyDescent="0.25">
      <c r="A5" t="s">
        <v>10</v>
      </c>
      <c r="B5" t="s">
        <v>13</v>
      </c>
      <c r="C5">
        <v>850</v>
      </c>
    </row>
    <row r="8" spans="1:6" x14ac:dyDescent="0.25">
      <c r="A8" s="5" t="s">
        <v>54</v>
      </c>
      <c r="B8">
        <v>3.6</v>
      </c>
    </row>
    <row r="11" spans="1:6" x14ac:dyDescent="0.25">
      <c r="A11" s="5" t="s">
        <v>59</v>
      </c>
      <c r="B11" s="5" t="s">
        <v>1</v>
      </c>
      <c r="C11" s="5" t="s">
        <v>68</v>
      </c>
    </row>
    <row r="12" spans="1:6" x14ac:dyDescent="0.25">
      <c r="A12">
        <v>0</v>
      </c>
      <c r="B12" t="s">
        <v>14</v>
      </c>
      <c r="C12" t="s">
        <v>10</v>
      </c>
    </row>
    <row r="13" spans="1:6" x14ac:dyDescent="0.25">
      <c r="A13">
        <v>0</v>
      </c>
      <c r="B13" t="s">
        <v>56</v>
      </c>
      <c r="C13" t="s">
        <v>10</v>
      </c>
    </row>
    <row r="14" spans="1:6" ht="15.6" x14ac:dyDescent="0.3">
      <c r="A14">
        <v>200</v>
      </c>
      <c r="B14" s="1" t="s">
        <v>47</v>
      </c>
      <c r="C14" t="s">
        <v>8</v>
      </c>
    </row>
    <row r="15" spans="1:6" x14ac:dyDescent="0.25">
      <c r="A15">
        <v>0</v>
      </c>
      <c r="B15" t="s">
        <v>13</v>
      </c>
      <c r="C15" t="s">
        <v>10</v>
      </c>
    </row>
    <row r="17" spans="1:1" x14ac:dyDescent="0.25">
      <c r="A17" t="s">
        <v>62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3"/>
  <dimension ref="A1:AA49"/>
  <sheetViews>
    <sheetView rightToLeft="1" tabSelected="1" topLeftCell="E1" workbookViewId="0">
      <selection activeCell="R27" sqref="R27"/>
    </sheetView>
  </sheetViews>
  <sheetFormatPr defaultColWidth="9" defaultRowHeight="13.8" x14ac:dyDescent="0.25"/>
  <cols>
    <col min="1" max="1" width="9.19921875" style="15" bestFit="1" customWidth="1"/>
    <col min="2" max="2" width="8.19921875" style="16" bestFit="1" customWidth="1"/>
    <col min="3" max="3" width="12.19921875" style="15" customWidth="1"/>
    <col min="4" max="4" width="7.19921875" style="15" bestFit="1" customWidth="1"/>
    <col min="5" max="5" width="8" style="15" customWidth="1"/>
    <col min="6" max="6" width="7.69921875" style="15" customWidth="1"/>
    <col min="7" max="7" width="6.69921875" style="15" customWidth="1"/>
    <col min="8" max="8" width="7.69921875" style="15" customWidth="1"/>
    <col min="9" max="9" width="11.19921875" style="15" customWidth="1"/>
    <col min="10" max="10" width="12.19921875" style="15" customWidth="1"/>
    <col min="11" max="11" width="11" style="15" bestFit="1" customWidth="1"/>
    <col min="12" max="12" width="8.19921875" style="15" bestFit="1" customWidth="1"/>
    <col min="13" max="13" width="8.19921875" style="15" customWidth="1"/>
    <col min="14" max="14" width="13.5" style="15" bestFit="1" customWidth="1"/>
    <col min="15" max="15" width="7.69921875" style="15" customWidth="1"/>
    <col min="16" max="16384" width="9" style="15"/>
  </cols>
  <sheetData>
    <row r="1" spans="1:25" s="14" customFormat="1" ht="60.75" customHeight="1" x14ac:dyDescent="0.25">
      <c r="A1" s="14" t="s">
        <v>0</v>
      </c>
      <c r="B1" s="14" t="s">
        <v>45</v>
      </c>
      <c r="C1" s="14" t="s">
        <v>60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6</v>
      </c>
      <c r="I1" s="14" t="s">
        <v>7</v>
      </c>
      <c r="J1" s="32" t="s">
        <v>55</v>
      </c>
      <c r="K1" s="39" t="s">
        <v>57</v>
      </c>
      <c r="L1" s="32" t="s">
        <v>5</v>
      </c>
      <c r="M1" s="32" t="s">
        <v>69</v>
      </c>
      <c r="N1" s="32" t="s">
        <v>73</v>
      </c>
      <c r="O1" s="32" t="s">
        <v>61</v>
      </c>
      <c r="Q1" s="32" t="s">
        <v>70</v>
      </c>
      <c r="R1" s="32" t="s">
        <v>72</v>
      </c>
      <c r="S1" s="14" t="s">
        <v>4</v>
      </c>
      <c r="T1" s="14" t="s">
        <v>7</v>
      </c>
      <c r="W1" s="14" t="s">
        <v>4</v>
      </c>
      <c r="X1" s="14" t="s">
        <v>7</v>
      </c>
    </row>
    <row r="2" spans="1:25" x14ac:dyDescent="0.25">
      <c r="A2" s="15">
        <v>2260</v>
      </c>
      <c r="B2" s="16" t="s">
        <v>28</v>
      </c>
      <c r="C2" s="17">
        <v>43210</v>
      </c>
      <c r="D2" s="15" t="s">
        <v>14</v>
      </c>
      <c r="E2" s="15">
        <v>37</v>
      </c>
      <c r="F2" s="15">
        <v>6</v>
      </c>
      <c r="G2" s="15">
        <v>3</v>
      </c>
      <c r="H2" s="15" t="s">
        <v>8</v>
      </c>
      <c r="I2" s="15" t="s">
        <v>11</v>
      </c>
      <c r="J2" s="18">
        <f>(VLOOKUP(D2,'נתוני עזר'!$B$2:$C$5,2,0)*F2+VLOOKUP(D2,'נתוני עזר'!$B$2:$C$5,2,0)*G2*'נתוני עזר'!$F$2)*'נתוני עזר'!$B$8</f>
        <v>25920</v>
      </c>
      <c r="K2" s="18">
        <f t="shared" ref="K2:K32" si="0">J2-(IF(AND(OR(D2=$J$40,D2=$J$41),OR(MONTH(C2)=$J$38,MONTH(C2)=$J$39),I2=$J$42),J2*$J$43,$J$44))</f>
        <v>25920</v>
      </c>
      <c r="L2" s="15" t="str">
        <f>_xlfn.XLOOKUP(D2,'נתוני עזר'!$B$2:$B$5,'נתוני עזר'!$A$2:$A$5,,0)</f>
        <v>לא</v>
      </c>
      <c r="M2" s="15" t="str">
        <f>VLOOKUP(טיולים!D2,'נתוני עזר'!$B$12:$C$15,2,0)</f>
        <v>לא</v>
      </c>
      <c r="N2" s="17">
        <f>IF(H2=$P$18,DATE(YEAR(C2),MONTH(C2)+$P$19,DAY(C2)),IF(AND(H2=$P$20,L2=$P$21),C2+$P$23,C2))</f>
        <v>43240</v>
      </c>
      <c r="O2" s="15">
        <f>IFERROR((INDEX('נתוני עזר'!$A$12:$A$15,MATCH(טיולים!D2,'נתוני עזר'!$B$12:$B$15,0))*F2),'נתוני עזר'!$A$17)</f>
        <v>0</v>
      </c>
      <c r="Q2" s="33">
        <f>DAVERAGE($A$1:$M$32,K1,S1:T3)</f>
        <v>24895.980000000003</v>
      </c>
      <c r="S2" s="15">
        <v>0</v>
      </c>
      <c r="W2" s="15">
        <v>0</v>
      </c>
    </row>
    <row r="3" spans="1:25" x14ac:dyDescent="0.25">
      <c r="A3" s="15">
        <v>4578</v>
      </c>
      <c r="B3" s="16" t="s">
        <v>17</v>
      </c>
      <c r="C3" s="17">
        <v>43164</v>
      </c>
      <c r="D3" s="15" t="s">
        <v>56</v>
      </c>
      <c r="E3" s="15">
        <v>21</v>
      </c>
      <c r="F3" s="15">
        <v>2</v>
      </c>
      <c r="G3" s="15">
        <v>4</v>
      </c>
      <c r="H3" s="15" t="s">
        <v>8</v>
      </c>
      <c r="I3" s="15" t="s">
        <v>9</v>
      </c>
      <c r="J3" s="18">
        <f>(VLOOKUP(D3,'נתוני עזר'!$B$2:$C$5,2,0)*F3+VLOOKUP(D3,'נתוני עזר'!$B$2:$C$5,2,0)*G3*'נתוני עזר'!$F$2)*'נתוני עזר'!$B$8</f>
        <v>10368</v>
      </c>
      <c r="K3" s="18">
        <f t="shared" si="0"/>
        <v>9331.2000000000007</v>
      </c>
      <c r="L3" s="15" t="str">
        <f>_xlfn.XLOOKUP(D3,'נתוני עזר'!$B$2:$B$5,'נתוני עזר'!$A$2:$A$5,,0)</f>
        <v>לא</v>
      </c>
      <c r="M3" s="15" t="str">
        <f>VLOOKUP(טיולים!D3,'נתוני עזר'!$B$12:$C$15,2,0)</f>
        <v>לא</v>
      </c>
      <c r="N3" s="17">
        <f t="shared" ref="N3:N32" si="1">IF(H3=$P$18,DATE(YEAR(C3),MONTH(C3)+$P$19,DAY(C3)),IF(AND(H3=$P$20,L3=$P$21),C3+$P$23,C3))</f>
        <v>43195</v>
      </c>
      <c r="O3" s="15">
        <f>IFERROR((INDEX('נתוני עזר'!$A$12:$A$15,MATCH(טיולים!D3,'נתוני עזר'!$B$12:$B$15,0))*F3),'נתוני עזר'!$A$17)</f>
        <v>0</v>
      </c>
      <c r="T3" s="15" t="s">
        <v>9</v>
      </c>
      <c r="X3" s="15" t="s">
        <v>9</v>
      </c>
    </row>
    <row r="4" spans="1:25" x14ac:dyDescent="0.25">
      <c r="A4" s="15">
        <v>3423</v>
      </c>
      <c r="B4" s="16" t="s">
        <v>22</v>
      </c>
      <c r="C4" s="17">
        <v>43140</v>
      </c>
      <c r="D4" s="15" t="s">
        <v>14</v>
      </c>
      <c r="E4" s="15">
        <v>5</v>
      </c>
      <c r="F4" s="15">
        <v>1</v>
      </c>
      <c r="G4" s="15">
        <v>3</v>
      </c>
      <c r="H4" s="15" t="s">
        <v>8</v>
      </c>
      <c r="I4" s="15" t="s">
        <v>12</v>
      </c>
      <c r="J4" s="18">
        <f>(VLOOKUP(D4,'נתוני עזר'!$B$2:$C$5,2,0)*F4+VLOOKUP(D4,'נתוני עזר'!$B$2:$C$5,2,0)*G4*'נתוני עזר'!$F$2)*'נתוני עזר'!$B$8</f>
        <v>7920</v>
      </c>
      <c r="K4" s="18">
        <f t="shared" si="0"/>
        <v>7920</v>
      </c>
      <c r="L4" s="15" t="str">
        <f>_xlfn.XLOOKUP(D4,'נתוני עזר'!$B$2:$B$5,'נתוני עזר'!$A$2:$A$5,,0)</f>
        <v>לא</v>
      </c>
      <c r="M4" s="15" t="str">
        <f>VLOOKUP(טיולים!D4,'נתוני עזר'!$B$12:$C$15,2,0)</f>
        <v>לא</v>
      </c>
      <c r="N4" s="17">
        <f t="shared" si="1"/>
        <v>43168</v>
      </c>
      <c r="O4" s="15">
        <f>IFERROR((INDEX('נתוני עזר'!$A$12:$A$15,MATCH(טיולים!D4,'נתוני עזר'!$B$12:$B$15,0))*F4),'נתוני עזר'!$A$17)</f>
        <v>0</v>
      </c>
    </row>
    <row r="5" spans="1:25" x14ac:dyDescent="0.25">
      <c r="A5" s="15">
        <v>7998</v>
      </c>
      <c r="B5" s="16" t="s">
        <v>36</v>
      </c>
      <c r="C5" s="17">
        <v>43329</v>
      </c>
      <c r="D5" s="15" t="s">
        <v>14</v>
      </c>
      <c r="E5" s="15">
        <v>12</v>
      </c>
      <c r="F5" s="15">
        <v>10</v>
      </c>
      <c r="G5" s="15">
        <v>2</v>
      </c>
      <c r="H5" s="15" t="s">
        <v>10</v>
      </c>
      <c r="I5" s="15" t="s">
        <v>9</v>
      </c>
      <c r="J5" s="18">
        <f>(VLOOKUP(D5,'נתוני עזר'!$B$2:$C$5,2,0)*F5+VLOOKUP(D5,'נתוני עזר'!$B$2:$C$5,2,0)*G5*'נתוני עזר'!$F$2)*'נתוני עזר'!$B$8</f>
        <v>38880</v>
      </c>
      <c r="K5" s="18">
        <f t="shared" si="0"/>
        <v>38880</v>
      </c>
      <c r="L5" s="15" t="str">
        <f>_xlfn.XLOOKUP(D5,'נתוני עזר'!$B$2:$B$5,'נתוני עזר'!$A$2:$A$5,,0)</f>
        <v>לא</v>
      </c>
      <c r="M5" s="15" t="str">
        <f>VLOOKUP(טיולים!D5,'נתוני עזר'!$B$12:$C$15,2,0)</f>
        <v>לא</v>
      </c>
      <c r="N5" s="17">
        <f t="shared" si="1"/>
        <v>43329</v>
      </c>
      <c r="O5" s="15">
        <f>IFERROR((INDEX('נתוני עזר'!$A$12:$A$15,MATCH(טיולים!D5,'נתוני עזר'!$B$12:$B$15,0))*F5),'נתוני עזר'!$A$17)</f>
        <v>0</v>
      </c>
    </row>
    <row r="6" spans="1:25" x14ac:dyDescent="0.25">
      <c r="A6" s="15">
        <v>5327</v>
      </c>
      <c r="B6" s="16" t="s">
        <v>39</v>
      </c>
      <c r="C6" s="17">
        <v>42866</v>
      </c>
      <c r="D6" s="15" t="s">
        <v>56</v>
      </c>
      <c r="E6" s="15">
        <v>35</v>
      </c>
      <c r="F6" s="15">
        <v>12</v>
      </c>
      <c r="G6" s="15">
        <v>3</v>
      </c>
      <c r="H6" s="15" t="s">
        <v>8</v>
      </c>
      <c r="I6" s="15" t="s">
        <v>11</v>
      </c>
      <c r="J6" s="18">
        <f>(VLOOKUP(D6,'נתוני עזר'!$B$2:$C$5,2,0)*F6+VLOOKUP(D6,'נתוני עזר'!$B$2:$C$5,2,0)*G6*'נתוני עזר'!$F$2)*'נתוני עזר'!$B$8</f>
        <v>38016</v>
      </c>
      <c r="K6" s="18">
        <f t="shared" si="0"/>
        <v>38016</v>
      </c>
      <c r="L6" s="15" t="str">
        <f>_xlfn.XLOOKUP(D6,'נתוני עזר'!$B$2:$B$5,'נתוני עזר'!$A$2:$A$5,,0)</f>
        <v>לא</v>
      </c>
      <c r="M6" s="15" t="str">
        <f>VLOOKUP(טיולים!D6,'נתוני עזר'!$B$12:$C$15,2,0)</f>
        <v>לא</v>
      </c>
      <c r="N6" s="17">
        <f t="shared" si="1"/>
        <v>42897</v>
      </c>
      <c r="O6" s="15">
        <f>IFERROR((INDEX('נתוני עזר'!$A$12:$A$15,MATCH(טיולים!D6,'נתוני עזר'!$B$12:$B$15,0))*F6),'נתוני עזר'!$A$17)</f>
        <v>0</v>
      </c>
      <c r="X6" s="15">
        <f>DAVERAGE(A1:O32,K1,$W$1:$X$3)</f>
        <v>24895.980000000003</v>
      </c>
    </row>
    <row r="7" spans="1:25" x14ac:dyDescent="0.25">
      <c r="A7" s="15">
        <v>2976</v>
      </c>
      <c r="B7" s="16" t="s">
        <v>20</v>
      </c>
      <c r="C7" s="17">
        <v>42996</v>
      </c>
      <c r="D7" s="15" t="s">
        <v>56</v>
      </c>
      <c r="E7" s="15">
        <v>15</v>
      </c>
      <c r="F7" s="15">
        <v>7</v>
      </c>
      <c r="G7" s="15">
        <v>0</v>
      </c>
      <c r="H7" s="15" t="s">
        <v>8</v>
      </c>
      <c r="I7" s="15" t="s">
        <v>11</v>
      </c>
      <c r="J7" s="18">
        <f>(VLOOKUP(D7,'נתוני עזר'!$B$2:$C$5,2,0)*F7+VLOOKUP(D7,'נתוני עזר'!$B$2:$C$5,2,0)*G7*'נתוני עזר'!$F$2)*'נתוני עזר'!$B$8</f>
        <v>20160</v>
      </c>
      <c r="K7" s="18">
        <f t="shared" si="0"/>
        <v>20160</v>
      </c>
      <c r="L7" s="15" t="str">
        <f>_xlfn.XLOOKUP(D7,'נתוני עזר'!$B$2:$B$5,'נתוני עזר'!$A$2:$A$5,,0)</f>
        <v>לא</v>
      </c>
      <c r="M7" s="15" t="str">
        <f>VLOOKUP(טיולים!D7,'נתוני עזר'!$B$12:$C$15,2,0)</f>
        <v>לא</v>
      </c>
      <c r="N7" s="17">
        <f t="shared" si="1"/>
        <v>43026</v>
      </c>
      <c r="O7" s="15">
        <f>IFERROR((INDEX('נתוני עזר'!$A$12:$A$15,MATCH(טיולים!D7,'נתוני עזר'!$B$12:$B$15,0))*F7),'נתוני עזר'!$A$17)</f>
        <v>0</v>
      </c>
      <c r="Q7" s="34" t="s">
        <v>71</v>
      </c>
    </row>
    <row r="8" spans="1:25" x14ac:dyDescent="0.25">
      <c r="A8" s="15">
        <v>5985</v>
      </c>
      <c r="B8" s="16" t="s">
        <v>15</v>
      </c>
      <c r="C8" s="17">
        <v>43194</v>
      </c>
      <c r="D8" s="15" t="s">
        <v>14</v>
      </c>
      <c r="E8" s="15">
        <v>13</v>
      </c>
      <c r="F8" s="15">
        <v>8</v>
      </c>
      <c r="G8" s="15">
        <v>3</v>
      </c>
      <c r="H8" s="15" t="s">
        <v>8</v>
      </c>
      <c r="I8" s="15" t="s">
        <v>9</v>
      </c>
      <c r="J8" s="18">
        <f>(VLOOKUP(D8,'נתוני עזר'!$B$2:$C$5,2,0)*F8+VLOOKUP(D8,'נתוני עזר'!$B$2:$C$5,2,0)*G8*'נתוני עזר'!$F$2)*'נתוני עזר'!$B$8</f>
        <v>33120</v>
      </c>
      <c r="K8" s="18">
        <f t="shared" si="0"/>
        <v>33120</v>
      </c>
      <c r="L8" s="15" t="str">
        <f>_xlfn.XLOOKUP(D8,'נתוני עזר'!$B$2:$B$5,'נתוני עזר'!$A$2:$A$5,,0)</f>
        <v>לא</v>
      </c>
      <c r="M8" s="15" t="str">
        <f>VLOOKUP(טיולים!D8,'נתוני עזר'!$B$12:$C$15,2,0)</f>
        <v>לא</v>
      </c>
      <c r="N8" s="17">
        <f t="shared" si="1"/>
        <v>43224</v>
      </c>
      <c r="O8" s="15">
        <f>IFERROR((INDEX('נתוני עזר'!$A$12:$A$15,MATCH(טיולים!D8,'נתוני עזר'!$B$12:$B$15,0))*F8),'נתוני עזר'!$A$17)</f>
        <v>0</v>
      </c>
      <c r="Q8" s="15">
        <f>Q2</f>
        <v>24895.980000000003</v>
      </c>
      <c r="R8" s="19">
        <v>0.05</v>
      </c>
      <c r="S8" s="19">
        <v>0.1</v>
      </c>
      <c r="T8" s="19">
        <v>0.15</v>
      </c>
      <c r="U8" s="19">
        <v>0.2</v>
      </c>
    </row>
    <row r="9" spans="1:25" x14ac:dyDescent="0.25">
      <c r="A9" s="15">
        <v>8973</v>
      </c>
      <c r="B9" s="16" t="s">
        <v>32</v>
      </c>
      <c r="C9" s="17">
        <v>43062</v>
      </c>
      <c r="D9" s="15" t="s">
        <v>13</v>
      </c>
      <c r="E9" s="15">
        <v>37</v>
      </c>
      <c r="F9" s="15">
        <v>11</v>
      </c>
      <c r="G9" s="15">
        <v>2</v>
      </c>
      <c r="H9" s="15" t="s">
        <v>8</v>
      </c>
      <c r="I9" s="15" t="s">
        <v>9</v>
      </c>
      <c r="J9" s="18">
        <f>(VLOOKUP(D9,'נתוני עזר'!$B$2:$C$5,2,0)*F9+VLOOKUP(D9,'נתוני עזר'!$B$2:$C$5,2,0)*G9*'נתוני עזר'!$F$2)*'נתוני עזר'!$B$8</f>
        <v>36108</v>
      </c>
      <c r="K9" s="18">
        <f t="shared" si="0"/>
        <v>36108</v>
      </c>
      <c r="L9" s="15" t="str">
        <f>_xlfn.XLOOKUP(D9,'נתוני עזר'!$B$2:$B$5,'נתוני עזר'!$A$2:$A$5,,0)</f>
        <v>לא</v>
      </c>
      <c r="M9" s="15" t="str">
        <f>VLOOKUP(טיולים!D9,'נתוני עזר'!$B$12:$C$15,2,0)</f>
        <v>לא</v>
      </c>
      <c r="N9" s="17">
        <f t="shared" si="1"/>
        <v>43092</v>
      </c>
      <c r="O9" s="15">
        <f>IFERROR((INDEX('נתוני עזר'!$A$12:$A$15,MATCH(טיולים!D9,'נתוני עזר'!$B$12:$B$15,0))*F9),'נתוני עזר'!$A$17)</f>
        <v>0</v>
      </c>
      <c r="Q9" s="15">
        <v>1</v>
      </c>
      <c r="R9" s="15">
        <f t="dataTable" ref="R9:U13" dt2D="1" dtr="1" r1="J43" r2="S2"/>
        <v>25552.1</v>
      </c>
      <c r="S9" s="15">
        <v>25436.2</v>
      </c>
      <c r="T9" s="15">
        <v>25320.3</v>
      </c>
      <c r="U9" s="15">
        <v>25204.400000000001</v>
      </c>
    </row>
    <row r="10" spans="1:25" x14ac:dyDescent="0.25">
      <c r="A10" s="15">
        <v>4517</v>
      </c>
      <c r="B10" s="16" t="s">
        <v>33</v>
      </c>
      <c r="C10" s="17">
        <v>42868</v>
      </c>
      <c r="D10" s="15" t="s">
        <v>56</v>
      </c>
      <c r="E10" s="15">
        <v>11</v>
      </c>
      <c r="F10" s="15">
        <v>11</v>
      </c>
      <c r="G10" s="15">
        <v>1</v>
      </c>
      <c r="H10" s="15" t="s">
        <v>10</v>
      </c>
      <c r="I10" s="15" t="s">
        <v>11</v>
      </c>
      <c r="J10" s="18">
        <f>(VLOOKUP(D10,'נתוני עזר'!$B$2:$C$5,2,0)*F10+VLOOKUP(D10,'נתוני עזר'!$B$2:$C$5,2,0)*G10*'נתוני עזר'!$F$2)*'נתוני עזר'!$B$8</f>
        <v>32832</v>
      </c>
      <c r="K10" s="18">
        <f t="shared" si="0"/>
        <v>32832</v>
      </c>
      <c r="L10" s="15" t="str">
        <f>_xlfn.XLOOKUP(D10,'נתוני עזר'!$B$2:$B$5,'נתוני עזר'!$A$2:$A$5,,0)</f>
        <v>לא</v>
      </c>
      <c r="M10" s="15" t="str">
        <f>VLOOKUP(טיולים!D10,'נתוני עזר'!$B$12:$C$15,2,0)</f>
        <v>לא</v>
      </c>
      <c r="N10" s="17">
        <f t="shared" si="1"/>
        <v>42868</v>
      </c>
      <c r="O10" s="15">
        <f>IFERROR((INDEX('נתוני עזר'!$A$12:$A$15,MATCH(טיולים!D10,'נתוני עזר'!$B$12:$B$15,0))*F10),'נתוני עזר'!$A$17)</f>
        <v>0</v>
      </c>
      <c r="Q10" s="15">
        <v>2</v>
      </c>
      <c r="R10" s="15">
        <v>25123.870588235295</v>
      </c>
      <c r="S10" s="15">
        <v>25001.152941176471</v>
      </c>
      <c r="T10" s="15">
        <v>24878.435294117644</v>
      </c>
      <c r="U10" s="15">
        <v>24755.717647058824</v>
      </c>
    </row>
    <row r="11" spans="1:25" x14ac:dyDescent="0.25">
      <c r="A11" s="15">
        <v>4970</v>
      </c>
      <c r="B11" s="16" t="s">
        <v>29</v>
      </c>
      <c r="C11" s="17">
        <v>43051</v>
      </c>
      <c r="D11" s="15" t="s">
        <v>56</v>
      </c>
      <c r="E11" s="15">
        <v>7</v>
      </c>
      <c r="F11" s="15">
        <v>3</v>
      </c>
      <c r="G11" s="15">
        <v>5</v>
      </c>
      <c r="H11" s="15" t="s">
        <v>8</v>
      </c>
      <c r="I11" s="15" t="s">
        <v>9</v>
      </c>
      <c r="J11" s="18">
        <f>(VLOOKUP(D11,'נתוני עזר'!$B$2:$C$5,2,0)*F11+VLOOKUP(D11,'נתוני עזר'!$B$2:$C$5,2,0)*G11*'נתוני עזר'!$F$2)*'נתוני עזר'!$B$8</f>
        <v>14400</v>
      </c>
      <c r="K11" s="18">
        <f t="shared" si="0"/>
        <v>14400</v>
      </c>
      <c r="L11" s="15" t="str">
        <f>_xlfn.XLOOKUP(D11,'נתוני עזר'!$B$2:$B$5,'נתוני עזר'!$A$2:$A$5,,0)</f>
        <v>לא</v>
      </c>
      <c r="M11" s="15" t="str">
        <f>VLOOKUP(טיולים!D11,'נתוני עזר'!$B$12:$C$15,2,0)</f>
        <v>לא</v>
      </c>
      <c r="N11" s="17">
        <f t="shared" si="1"/>
        <v>43081</v>
      </c>
      <c r="O11" s="15">
        <f>IFERROR((INDEX('נתוני עזר'!$A$12:$A$15,MATCH(טיולים!D11,'נתוני עזר'!$B$12:$B$15,0))*F11),'נתוני עזר'!$A$17)</f>
        <v>0</v>
      </c>
      <c r="Q11" s="15">
        <v>3</v>
      </c>
      <c r="R11" s="15">
        <v>23922.860869565218</v>
      </c>
      <c r="S11" s="15">
        <v>23832.156521739136</v>
      </c>
      <c r="T11" s="15">
        <v>23741.45217391304</v>
      </c>
      <c r="U11" s="15">
        <v>23650.747826086954</v>
      </c>
    </row>
    <row r="12" spans="1:25" x14ac:dyDescent="0.25">
      <c r="A12" s="15">
        <v>4074</v>
      </c>
      <c r="B12" s="16" t="s">
        <v>41</v>
      </c>
      <c r="C12" s="17">
        <v>43452</v>
      </c>
      <c r="D12" s="15" t="s">
        <v>47</v>
      </c>
      <c r="E12" s="15">
        <v>12</v>
      </c>
      <c r="F12" s="15">
        <v>12</v>
      </c>
      <c r="G12" s="15">
        <v>3</v>
      </c>
      <c r="H12" s="15" t="s">
        <v>10</v>
      </c>
      <c r="I12" s="15" t="s">
        <v>9</v>
      </c>
      <c r="J12" s="18">
        <f>(VLOOKUP(D12,'נתוני עזר'!$B$2:$C$5,2,0)*F12+VLOOKUP(D12,'נתוני עזר'!$B$2:$C$5,2,0)*G12*'נתוני עזר'!$F$2)*'נתוני עזר'!$B$8</f>
        <v>45144</v>
      </c>
      <c r="K12" s="18">
        <f t="shared" si="0"/>
        <v>45144</v>
      </c>
      <c r="L12" s="15" t="str">
        <f>_xlfn.XLOOKUP(D12,'נתוני עזר'!$B$2:$B$5,'נתוני עזר'!$A$2:$A$5,,0)</f>
        <v>כן</v>
      </c>
      <c r="M12" s="15" t="str">
        <f>VLOOKUP(טיולים!D12,'נתוני עזר'!$B$12:$C$15,2,0)</f>
        <v>כן</v>
      </c>
      <c r="N12" s="17">
        <f t="shared" si="1"/>
        <v>43457</v>
      </c>
      <c r="O12" s="15">
        <f>IFERROR((INDEX('נתוני עזר'!$A$12:$A$15,MATCH(טיולים!D12,'נתוני עזר'!$B$12:$B$15,0))*F12),'נתוני עזר'!$A$17)</f>
        <v>2400</v>
      </c>
      <c r="Q12" s="15">
        <v>4</v>
      </c>
      <c r="R12" s="15">
        <v>25738.2</v>
      </c>
      <c r="S12" s="15">
        <v>25628.400000000001</v>
      </c>
      <c r="T12" s="15">
        <v>25518.6</v>
      </c>
      <c r="U12" s="15">
        <v>25408.799999999999</v>
      </c>
    </row>
    <row r="13" spans="1:25" x14ac:dyDescent="0.25">
      <c r="A13" s="15">
        <v>1926</v>
      </c>
      <c r="B13" s="16" t="s">
        <v>26</v>
      </c>
      <c r="C13" s="17">
        <v>42819</v>
      </c>
      <c r="D13" s="15" t="s">
        <v>56</v>
      </c>
      <c r="E13" s="15">
        <v>20</v>
      </c>
      <c r="F13" s="15">
        <v>6</v>
      </c>
      <c r="G13" s="15">
        <v>0</v>
      </c>
      <c r="H13" s="15" t="s">
        <v>8</v>
      </c>
      <c r="I13" s="15" t="s">
        <v>9</v>
      </c>
      <c r="J13" s="18">
        <f>(VLOOKUP(D13,'נתוני עזר'!$B$2:$C$5,2,0)*F13+VLOOKUP(D13,'נתוני עזר'!$B$2:$C$5,2,0)*G13*'נתוני עזר'!$F$2)*'נתוני עזר'!$B$8</f>
        <v>17280</v>
      </c>
      <c r="K13" s="18">
        <f t="shared" si="0"/>
        <v>15552</v>
      </c>
      <c r="L13" s="15" t="str">
        <f>_xlfn.XLOOKUP(D13,'נתוני עזר'!$B$2:$B$5,'נתוני עזר'!$A$2:$A$5,,0)</f>
        <v>לא</v>
      </c>
      <c r="M13" s="15" t="str">
        <f>VLOOKUP(טיולים!D13,'נתוני עזר'!$B$12:$C$15,2,0)</f>
        <v>לא</v>
      </c>
      <c r="N13" s="17">
        <f t="shared" si="1"/>
        <v>42850</v>
      </c>
      <c r="O13" s="15">
        <f>IFERROR((INDEX('נתוני עזר'!$A$12:$A$15,MATCH(טיולים!D13,'נתוני עזר'!$B$12:$B$15,0))*F13),'נתוני עזר'!$A$17)</f>
        <v>0</v>
      </c>
      <c r="Q13" s="15">
        <v>5</v>
      </c>
      <c r="R13" s="15">
        <v>24373.989473684211</v>
      </c>
      <c r="S13" s="15">
        <v>24264.189473684211</v>
      </c>
      <c r="T13" s="15">
        <v>24154.389473684208</v>
      </c>
      <c r="U13" s="15">
        <v>24044.589473684213</v>
      </c>
    </row>
    <row r="14" spans="1:25" x14ac:dyDescent="0.25">
      <c r="A14" s="15">
        <v>2018</v>
      </c>
      <c r="B14" s="16" t="s">
        <v>38</v>
      </c>
      <c r="C14" s="17">
        <v>43147</v>
      </c>
      <c r="D14" s="15" t="s">
        <v>14</v>
      </c>
      <c r="E14" s="15">
        <v>16</v>
      </c>
      <c r="F14" s="15">
        <v>7</v>
      </c>
      <c r="G14" s="15">
        <v>4</v>
      </c>
      <c r="H14" s="15" t="s">
        <v>8</v>
      </c>
      <c r="I14" s="15" t="s">
        <v>12</v>
      </c>
      <c r="J14" s="18">
        <f>(VLOOKUP(D14,'נתוני עזר'!$B$2:$C$5,2,0)*F14+VLOOKUP(D14,'נתוני עזר'!$B$2:$C$5,2,0)*G14*'נתוני עזר'!$F$2)*'נתוני עזר'!$B$8</f>
        <v>30960</v>
      </c>
      <c r="K14" s="18">
        <f t="shared" si="0"/>
        <v>30960</v>
      </c>
      <c r="L14" s="15" t="str">
        <f>_xlfn.XLOOKUP(D14,'נתוני עזר'!$B$2:$B$5,'נתוני עזר'!$A$2:$A$5,,0)</f>
        <v>לא</v>
      </c>
      <c r="M14" s="15" t="str">
        <f>VLOOKUP(טיולים!D14,'נתוני עזר'!$B$12:$C$15,2,0)</f>
        <v>לא</v>
      </c>
      <c r="N14" s="17">
        <f t="shared" si="1"/>
        <v>43175</v>
      </c>
      <c r="O14" s="15">
        <f>IFERROR((INDEX('נתוני עזר'!$A$12:$A$15,MATCH(טיולים!D14,'נתוני עזר'!$B$12:$B$15,0))*F14),'נתוני עזר'!$A$17)</f>
        <v>0</v>
      </c>
    </row>
    <row r="15" spans="1:25" x14ac:dyDescent="0.25">
      <c r="A15" s="15">
        <v>8150</v>
      </c>
      <c r="B15" s="16" t="s">
        <v>16</v>
      </c>
      <c r="C15" s="17">
        <v>42809</v>
      </c>
      <c r="D15" s="15" t="s">
        <v>14</v>
      </c>
      <c r="E15" s="15">
        <v>8</v>
      </c>
      <c r="F15" s="15">
        <v>7</v>
      </c>
      <c r="G15" s="15">
        <v>5</v>
      </c>
      <c r="H15" s="15" t="s">
        <v>8</v>
      </c>
      <c r="I15" s="15" t="s">
        <v>9</v>
      </c>
      <c r="J15" s="18">
        <f>(VLOOKUP(D15,'נתוני עזר'!$B$2:$C$5,2,0)*F15+VLOOKUP(D15,'נתוני עזר'!$B$2:$C$5,2,0)*G15*'נתוני עזר'!$F$2)*'נתוני עזר'!$B$8</f>
        <v>32400</v>
      </c>
      <c r="K15" s="18">
        <f t="shared" si="0"/>
        <v>32400</v>
      </c>
      <c r="L15" s="15" t="str">
        <f>_xlfn.XLOOKUP(D15,'נתוני עזר'!$B$2:$B$5,'נתוני עזר'!$A$2:$A$5,,0)</f>
        <v>לא</v>
      </c>
      <c r="M15" s="15" t="str">
        <f>VLOOKUP(טיולים!D15,'נתוני עזר'!$B$12:$C$15,2,0)</f>
        <v>לא</v>
      </c>
      <c r="N15" s="17">
        <f t="shared" si="1"/>
        <v>42840</v>
      </c>
      <c r="O15" s="15">
        <f>IFERROR((INDEX('נתוני עזר'!$A$12:$A$15,MATCH(טיולים!D15,'נתוני עזר'!$B$12:$B$15,0))*F15),'נתוני עזר'!$A$17)</f>
        <v>0</v>
      </c>
    </row>
    <row r="16" spans="1:25" x14ac:dyDescent="0.25">
      <c r="A16" s="15">
        <v>1929</v>
      </c>
      <c r="B16" s="16" t="s">
        <v>42</v>
      </c>
      <c r="C16" s="17">
        <v>42874</v>
      </c>
      <c r="D16" s="15" t="s">
        <v>56</v>
      </c>
      <c r="E16" s="15">
        <v>18</v>
      </c>
      <c r="F16" s="15">
        <v>10</v>
      </c>
      <c r="G16" s="15">
        <v>0</v>
      </c>
      <c r="H16" s="15" t="s">
        <v>8</v>
      </c>
      <c r="I16" s="15" t="s">
        <v>11</v>
      </c>
      <c r="J16" s="18">
        <f>(VLOOKUP(D16,'נתוני עזר'!$B$2:$C$5,2,0)*F16+VLOOKUP(D16,'נתוני עזר'!$B$2:$C$5,2,0)*G16*'נתוני עזר'!$F$2)*'נתוני עזר'!$B$8</f>
        <v>28800</v>
      </c>
      <c r="K16" s="18">
        <f t="shared" si="0"/>
        <v>28800</v>
      </c>
      <c r="L16" s="15" t="str">
        <f>_xlfn.XLOOKUP(D16,'נתוני עזר'!$B$2:$B$5,'נתוני עזר'!$A$2:$A$5,,0)</f>
        <v>לא</v>
      </c>
      <c r="M16" s="15" t="str">
        <f>VLOOKUP(טיולים!D16,'נתוני עזר'!$B$12:$C$15,2,0)</f>
        <v>לא</v>
      </c>
      <c r="N16" s="17">
        <f t="shared" si="1"/>
        <v>42905</v>
      </c>
      <c r="O16" s="15">
        <f>IFERROR((INDEX('נתוני עזר'!$A$12:$A$15,MATCH(טיולים!D16,'נתוני עזר'!$B$12:$B$15,0))*F16),'נתוני עזר'!$A$17)</f>
        <v>0</v>
      </c>
      <c r="Y16" s="15" t="s">
        <v>79</v>
      </c>
    </row>
    <row r="17" spans="1:27" x14ac:dyDescent="0.25">
      <c r="A17" s="15">
        <v>7754</v>
      </c>
      <c r="B17" s="16" t="s">
        <v>34</v>
      </c>
      <c r="C17" s="17">
        <v>43246</v>
      </c>
      <c r="D17" s="15" t="s">
        <v>14</v>
      </c>
      <c r="E17" s="15">
        <v>28</v>
      </c>
      <c r="F17" s="15">
        <v>7</v>
      </c>
      <c r="G17" s="15">
        <v>4</v>
      </c>
      <c r="H17" s="15" t="s">
        <v>8</v>
      </c>
      <c r="I17" s="15" t="s">
        <v>12</v>
      </c>
      <c r="J17" s="18">
        <f>(VLOOKUP(D17,'נתוני עזר'!$B$2:$C$5,2,0)*F17+VLOOKUP(D17,'נתוני עזר'!$B$2:$C$5,2,0)*G17*'נתוני עזר'!$F$2)*'נתוני עזר'!$B$8</f>
        <v>30960</v>
      </c>
      <c r="K17" s="18">
        <f t="shared" si="0"/>
        <v>30960</v>
      </c>
      <c r="L17" s="15" t="str">
        <f>_xlfn.XLOOKUP(D17,'נתוני עזר'!$B$2:$B$5,'נתוני עזר'!$A$2:$A$5,,0)</f>
        <v>לא</v>
      </c>
      <c r="M17" s="15" t="str">
        <f>VLOOKUP(טיולים!D17,'נתוני עזר'!$B$12:$C$15,2,0)</f>
        <v>לא</v>
      </c>
      <c r="N17" s="17">
        <f t="shared" si="1"/>
        <v>43277</v>
      </c>
      <c r="O17" s="15">
        <f>IFERROR((INDEX('נתוני עזר'!$A$12:$A$15,MATCH(טיולים!D17,'נתוני עזר'!$B$12:$B$15,0))*F17),'נתוני עזר'!$A$17)</f>
        <v>0</v>
      </c>
    </row>
    <row r="18" spans="1:27" x14ac:dyDescent="0.25">
      <c r="A18" s="15">
        <v>8437</v>
      </c>
      <c r="B18" s="16" t="s">
        <v>25</v>
      </c>
      <c r="C18" s="17">
        <v>43118</v>
      </c>
      <c r="D18" s="15" t="s">
        <v>56</v>
      </c>
      <c r="E18" s="15">
        <v>24</v>
      </c>
      <c r="F18" s="15">
        <v>9</v>
      </c>
      <c r="G18" s="15">
        <v>3</v>
      </c>
      <c r="H18" s="15" t="s">
        <v>10</v>
      </c>
      <c r="I18" s="15" t="s">
        <v>11</v>
      </c>
      <c r="J18" s="18">
        <f>(VLOOKUP(D18,'נתוני עזר'!$B$2:$C$5,2,0)*F18+VLOOKUP(D18,'נתוני עזר'!$B$2:$C$5,2,0)*G18*'נתוני עזר'!$F$2)*'נתוני עזר'!$B$8</f>
        <v>29376</v>
      </c>
      <c r="K18" s="18">
        <f t="shared" si="0"/>
        <v>29376</v>
      </c>
      <c r="L18" s="15" t="str">
        <f>_xlfn.XLOOKUP(D18,'נתוני עזר'!$B$2:$B$5,'נתוני עזר'!$A$2:$A$5,,0)</f>
        <v>לא</v>
      </c>
      <c r="M18" s="15" t="str">
        <f>VLOOKUP(טיולים!D18,'נתוני עזר'!$B$12:$C$15,2,0)</f>
        <v>לא</v>
      </c>
      <c r="N18" s="17">
        <f t="shared" si="1"/>
        <v>43118</v>
      </c>
      <c r="O18" s="15">
        <f>IFERROR((INDEX('נתוני עזר'!$A$12:$A$15,MATCH(טיולים!D18,'נתוני עזר'!$B$12:$B$15,0))*F18),'נתוני עזר'!$A$17)</f>
        <v>0</v>
      </c>
      <c r="P18" s="15" t="s">
        <v>8</v>
      </c>
      <c r="V18" s="19"/>
      <c r="W18" s="42">
        <f>X6</f>
        <v>24895.980000000003</v>
      </c>
      <c r="X18" s="40">
        <v>0.05</v>
      </c>
      <c r="Y18" s="40">
        <v>0.1</v>
      </c>
      <c r="Z18" s="40">
        <v>0.15</v>
      </c>
      <c r="AA18" s="40">
        <v>0.2</v>
      </c>
    </row>
    <row r="19" spans="1:27" x14ac:dyDescent="0.25">
      <c r="A19" s="15">
        <v>2526</v>
      </c>
      <c r="B19" s="16" t="s">
        <v>43</v>
      </c>
      <c r="C19" s="17">
        <v>42947</v>
      </c>
      <c r="D19" s="15" t="s">
        <v>56</v>
      </c>
      <c r="E19" s="15">
        <v>14</v>
      </c>
      <c r="F19" s="15">
        <v>10</v>
      </c>
      <c r="G19" s="15">
        <v>0</v>
      </c>
      <c r="H19" s="15" t="s">
        <v>10</v>
      </c>
      <c r="I19" s="15" t="s">
        <v>9</v>
      </c>
      <c r="J19" s="18">
        <f>(VLOOKUP(D19,'נתוני עזר'!$B$2:$C$5,2,0)*F19+VLOOKUP(D19,'נתוני עזר'!$B$2:$C$5,2,0)*G19*'נתוני עזר'!$F$2)*'נתוני עזר'!$B$8</f>
        <v>28800</v>
      </c>
      <c r="K19" s="18">
        <f t="shared" si="0"/>
        <v>28800</v>
      </c>
      <c r="L19" s="15" t="str">
        <f>_xlfn.XLOOKUP(D19,'נתוני עזר'!$B$2:$B$5,'נתוני עזר'!$A$2:$A$5,,0)</f>
        <v>לא</v>
      </c>
      <c r="M19" s="15" t="str">
        <f>VLOOKUP(טיולים!D19,'נתוני עזר'!$B$12:$C$15,2,0)</f>
        <v>לא</v>
      </c>
      <c r="N19" s="17">
        <f t="shared" si="1"/>
        <v>42947</v>
      </c>
      <c r="O19" s="15">
        <f>IFERROR((INDEX('נתוני עזר'!$A$12:$A$15,MATCH(טיולים!D19,'נתוני עזר'!$B$12:$B$15,0))*F19),'נתוני עזר'!$A$17)</f>
        <v>0</v>
      </c>
      <c r="P19" s="15">
        <v>1</v>
      </c>
      <c r="Q19" s="34" t="s">
        <v>75</v>
      </c>
      <c r="W19" s="41">
        <v>1</v>
      </c>
      <c r="X19" s="15">
        <f t="dataTable" ref="X19:AA23" dt2D="1" dtr="1" r1="J43" r2="W2" ca="1"/>
        <v>25552.1</v>
      </c>
      <c r="Y19" s="15">
        <v>25436.2</v>
      </c>
      <c r="Z19" s="15">
        <v>25320.3</v>
      </c>
      <c r="AA19" s="15">
        <v>25204.400000000001</v>
      </c>
    </row>
    <row r="20" spans="1:27" x14ac:dyDescent="0.25">
      <c r="A20" s="15">
        <v>4433</v>
      </c>
      <c r="B20" s="16" t="s">
        <v>35</v>
      </c>
      <c r="C20" s="17">
        <v>43147</v>
      </c>
      <c r="D20" s="15" t="s">
        <v>47</v>
      </c>
      <c r="E20" s="15">
        <v>14</v>
      </c>
      <c r="F20" s="15">
        <v>3</v>
      </c>
      <c r="G20" s="15">
        <v>3</v>
      </c>
      <c r="H20" s="15" t="s">
        <v>8</v>
      </c>
      <c r="I20" s="15" t="s">
        <v>12</v>
      </c>
      <c r="J20" s="18">
        <f>(VLOOKUP(D20,'נתוני עזר'!$B$2:$C$5,2,0)*F20+VLOOKUP(D20,'נתוני עזר'!$B$2:$C$5,2,0)*G20*'נתוני עזר'!$F$2)*'נתוני עזר'!$B$8</f>
        <v>14364</v>
      </c>
      <c r="K20" s="18">
        <f t="shared" si="0"/>
        <v>14364</v>
      </c>
      <c r="L20" s="15" t="str">
        <f>_xlfn.XLOOKUP(D20,'נתוני עזר'!$B$2:$B$5,'נתוני עזר'!$A$2:$A$5,,0)</f>
        <v>כן</v>
      </c>
      <c r="M20" s="15" t="str">
        <f>VLOOKUP(טיולים!D20,'נתוני עזר'!$B$12:$C$15,2,0)</f>
        <v>כן</v>
      </c>
      <c r="N20" s="17">
        <f t="shared" si="1"/>
        <v>43175</v>
      </c>
      <c r="O20" s="15">
        <f>IFERROR((INDEX('נתוני עזר'!$A$12:$A$15,MATCH(טיולים!D20,'נתוני עזר'!$B$12:$B$15,0))*F20),'נתוני עזר'!$A$17)</f>
        <v>600</v>
      </c>
      <c r="P20" s="15" t="s">
        <v>10</v>
      </c>
      <c r="Q20" s="15">
        <v>2</v>
      </c>
      <c r="R20" s="15">
        <f t="array" ref="R20:R23">FREQUENCY(F2:F32,Q20:Q22)</f>
        <v>6</v>
      </c>
      <c r="W20" s="41">
        <v>2</v>
      </c>
      <c r="X20" s="15">
        <v>25123.870588235295</v>
      </c>
      <c r="Y20" s="15">
        <v>25001.152941176471</v>
      </c>
      <c r="Z20" s="15">
        <v>24878.435294117644</v>
      </c>
      <c r="AA20" s="15">
        <v>24755.717647058824</v>
      </c>
    </row>
    <row r="21" spans="1:27" x14ac:dyDescent="0.25">
      <c r="A21" s="15">
        <v>8460</v>
      </c>
      <c r="B21" s="16" t="s">
        <v>46</v>
      </c>
      <c r="C21" s="17">
        <v>43247</v>
      </c>
      <c r="D21" s="15" t="s">
        <v>14</v>
      </c>
      <c r="E21" s="15">
        <v>20</v>
      </c>
      <c r="F21" s="15">
        <v>2</v>
      </c>
      <c r="G21" s="15">
        <v>5</v>
      </c>
      <c r="H21" s="15" t="s">
        <v>8</v>
      </c>
      <c r="I21" s="15" t="s">
        <v>11</v>
      </c>
      <c r="J21" s="18">
        <f>(VLOOKUP(D21,'נתוני עזר'!$B$2:$C$5,2,0)*F21+VLOOKUP(D21,'נתוני עזר'!$B$2:$C$5,2,0)*G21*'נתוני עזר'!$F$2)*'נתוני עזר'!$B$8</f>
        <v>14400</v>
      </c>
      <c r="K21" s="18">
        <f t="shared" si="0"/>
        <v>14400</v>
      </c>
      <c r="L21" s="15" t="str">
        <f>_xlfn.XLOOKUP(D21,'נתוני עזר'!$B$2:$B$5,'נתוני עזר'!$A$2:$A$5,,0)</f>
        <v>לא</v>
      </c>
      <c r="M21" s="15" t="str">
        <f>VLOOKUP(טיולים!D21,'נתוני עזר'!$B$12:$C$15,2,0)</f>
        <v>לא</v>
      </c>
      <c r="N21" s="17">
        <f t="shared" si="1"/>
        <v>43278</v>
      </c>
      <c r="O21" s="15">
        <f>IFERROR((INDEX('נתוני עזר'!$A$12:$A$15,MATCH(טיולים!D21,'נתוני עזר'!$B$12:$B$15,0))*F21),'נתוני עזר'!$A$17)</f>
        <v>0</v>
      </c>
      <c r="P21" s="15" t="s">
        <v>8</v>
      </c>
      <c r="Q21" s="15">
        <v>4</v>
      </c>
      <c r="R21" s="15">
        <v>4</v>
      </c>
      <c r="U21" s="15" t="s">
        <v>78</v>
      </c>
      <c r="W21" s="41">
        <v>3</v>
      </c>
      <c r="X21" s="15">
        <v>23922.860869565218</v>
      </c>
      <c r="Y21" s="15">
        <v>23832.156521739136</v>
      </c>
      <c r="Z21" s="15">
        <v>23741.45217391304</v>
      </c>
      <c r="AA21" s="15">
        <v>23650.747826086954</v>
      </c>
    </row>
    <row r="22" spans="1:27" x14ac:dyDescent="0.25">
      <c r="A22" s="15">
        <v>8606</v>
      </c>
      <c r="B22" s="16" t="s">
        <v>31</v>
      </c>
      <c r="C22" s="17">
        <v>42785</v>
      </c>
      <c r="D22" s="15" t="s">
        <v>13</v>
      </c>
      <c r="E22" s="15">
        <v>34</v>
      </c>
      <c r="F22" s="15">
        <v>3</v>
      </c>
      <c r="G22" s="15">
        <v>4</v>
      </c>
      <c r="H22" s="15" t="s">
        <v>10</v>
      </c>
      <c r="I22" s="15" t="s">
        <v>9</v>
      </c>
      <c r="J22" s="18">
        <f>(VLOOKUP(D22,'נתוני עזר'!$B$2:$C$5,2,0)*F22+VLOOKUP(D22,'נתוני עזר'!$B$2:$C$5,2,0)*G22*'נתוני עזר'!$F$2)*'נתוני עזר'!$B$8</f>
        <v>14076</v>
      </c>
      <c r="K22" s="18">
        <f t="shared" si="0"/>
        <v>12668.4</v>
      </c>
      <c r="L22" s="15" t="str">
        <f>_xlfn.XLOOKUP(D22,'נתוני עזר'!$B$2:$B$5,'נתוני עזר'!$A$2:$A$5,,0)</f>
        <v>לא</v>
      </c>
      <c r="M22" s="15" t="str">
        <f>VLOOKUP(טיולים!D22,'נתוני עזר'!$B$12:$C$15,2,0)</f>
        <v>לא</v>
      </c>
      <c r="N22" s="17">
        <f t="shared" si="1"/>
        <v>42785</v>
      </c>
      <c r="O22" s="15">
        <f>IFERROR((INDEX('נתוני עזר'!$A$12:$A$15,MATCH(טיולים!D22,'נתוני עזר'!$B$12:$B$15,0))*F22),'נתוני עזר'!$A$17)</f>
        <v>0</v>
      </c>
      <c r="Q22" s="15">
        <v>7</v>
      </c>
      <c r="R22" s="15">
        <v>8</v>
      </c>
      <c r="W22" s="41">
        <v>4</v>
      </c>
      <c r="X22" s="15">
        <v>25738.2</v>
      </c>
      <c r="Y22" s="15">
        <v>25628.400000000001</v>
      </c>
      <c r="Z22" s="15">
        <v>25518.6</v>
      </c>
      <c r="AA22" s="15">
        <v>25408.799999999999</v>
      </c>
    </row>
    <row r="23" spans="1:27" x14ac:dyDescent="0.25">
      <c r="A23" s="15">
        <v>8500</v>
      </c>
      <c r="B23" s="16" t="s">
        <v>44</v>
      </c>
      <c r="C23" s="17">
        <v>43010</v>
      </c>
      <c r="D23" s="15" t="s">
        <v>47</v>
      </c>
      <c r="E23" s="15">
        <v>28</v>
      </c>
      <c r="F23" s="15">
        <v>9</v>
      </c>
      <c r="G23" s="15">
        <v>5</v>
      </c>
      <c r="H23" s="15" t="s">
        <v>10</v>
      </c>
      <c r="I23" s="15" t="s">
        <v>9</v>
      </c>
      <c r="J23" s="18">
        <f>(VLOOKUP(D23,'נתוני עזר'!$B$2:$C$5,2,0)*F23+VLOOKUP(D23,'נתוני עזר'!$B$2:$C$5,2,0)*G23*'נתוני עזר'!$F$2)*'נתוני עזר'!$B$8</f>
        <v>37620</v>
      </c>
      <c r="K23" s="18">
        <f t="shared" si="0"/>
        <v>37620</v>
      </c>
      <c r="L23" s="15" t="str">
        <f>_xlfn.XLOOKUP(D23,'נתוני עזר'!$B$2:$B$5,'נתוני עזר'!$A$2:$A$5,,0)</f>
        <v>כן</v>
      </c>
      <c r="M23" s="15" t="str">
        <f>VLOOKUP(טיולים!D23,'נתוני עזר'!$B$12:$C$15,2,0)</f>
        <v>כן</v>
      </c>
      <c r="N23" s="17">
        <f t="shared" si="1"/>
        <v>43015</v>
      </c>
      <c r="O23" s="15">
        <f>IFERROR((INDEX('נתוני עזר'!$A$12:$A$15,MATCH(טיולים!D23,'נתוני עזר'!$B$12:$B$15,0))*F23),'נתוני עזר'!$A$17)</f>
        <v>1800</v>
      </c>
      <c r="P23" s="15">
        <v>5</v>
      </c>
      <c r="R23" s="15">
        <v>13</v>
      </c>
      <c r="W23" s="41">
        <v>5</v>
      </c>
      <c r="X23" s="15">
        <v>24373.989473684211</v>
      </c>
      <c r="Y23" s="15">
        <v>24264.189473684211</v>
      </c>
      <c r="Z23" s="15">
        <v>24154.389473684208</v>
      </c>
      <c r="AA23" s="15">
        <v>24044.589473684213</v>
      </c>
    </row>
    <row r="24" spans="1:27" x14ac:dyDescent="0.25">
      <c r="A24" s="15">
        <v>2461</v>
      </c>
      <c r="B24" s="16" t="s">
        <v>24</v>
      </c>
      <c r="C24" s="17">
        <v>42857</v>
      </c>
      <c r="D24" s="15" t="s">
        <v>56</v>
      </c>
      <c r="E24" s="15">
        <v>6</v>
      </c>
      <c r="F24" s="15">
        <v>8</v>
      </c>
      <c r="G24" s="15">
        <v>0</v>
      </c>
      <c r="H24" s="15" t="s">
        <v>10</v>
      </c>
      <c r="I24" s="15" t="s">
        <v>9</v>
      </c>
      <c r="J24" s="18">
        <f>(VLOOKUP(D24,'נתוני עזר'!$B$2:$C$5,2,0)*F24+VLOOKUP(D24,'נתוני עזר'!$B$2:$C$5,2,0)*G24*'נתוני עזר'!$F$2)*'נתוני עזר'!$B$8</f>
        <v>23040</v>
      </c>
      <c r="K24" s="18">
        <f t="shared" si="0"/>
        <v>23040</v>
      </c>
      <c r="L24" s="15" t="str">
        <f>_xlfn.XLOOKUP(D24,'נתוני עזר'!$B$2:$B$5,'נתוני עזר'!$A$2:$A$5,,0)</f>
        <v>לא</v>
      </c>
      <c r="M24" s="15" t="str">
        <f>VLOOKUP(טיולים!D24,'נתוני עזר'!$B$12:$C$15,2,0)</f>
        <v>לא</v>
      </c>
      <c r="N24" s="17">
        <f t="shared" si="1"/>
        <v>42857</v>
      </c>
      <c r="O24" s="15">
        <f>IFERROR((INDEX('נתוני עזר'!$A$12:$A$15,MATCH(טיולים!D24,'נתוני עזר'!$B$12:$B$15,0))*F24),'נתוני עזר'!$A$17)</f>
        <v>0</v>
      </c>
      <c r="W24" s="41"/>
    </row>
    <row r="25" spans="1:27" x14ac:dyDescent="0.25">
      <c r="A25" s="15">
        <v>4120</v>
      </c>
      <c r="B25" s="16" t="s">
        <v>23</v>
      </c>
      <c r="C25" s="17">
        <v>43311</v>
      </c>
      <c r="D25" s="15" t="s">
        <v>14</v>
      </c>
      <c r="E25" s="15">
        <v>6</v>
      </c>
      <c r="F25" s="15">
        <v>4</v>
      </c>
      <c r="G25" s="15">
        <v>5</v>
      </c>
      <c r="H25" s="15" t="s">
        <v>10</v>
      </c>
      <c r="I25" s="15" t="s">
        <v>11</v>
      </c>
      <c r="J25" s="18">
        <f>(VLOOKUP(D25,'נתוני עזר'!$B$2:$C$5,2,0)*F25+VLOOKUP(D25,'נתוני עזר'!$B$2:$C$5,2,0)*G25*'נתוני עזר'!$F$2)*'נתוני עזר'!$B$8</f>
        <v>21600</v>
      </c>
      <c r="K25" s="18">
        <f t="shared" si="0"/>
        <v>21600</v>
      </c>
      <c r="L25" s="15" t="str">
        <f>_xlfn.XLOOKUP(D25,'נתוני עזר'!$B$2:$B$5,'נתוני עזר'!$A$2:$A$5,,0)</f>
        <v>לא</v>
      </c>
      <c r="M25" s="15" t="str">
        <f>VLOOKUP(טיולים!D25,'נתוני עזר'!$B$12:$C$15,2,0)</f>
        <v>לא</v>
      </c>
      <c r="N25" s="17">
        <f t="shared" si="1"/>
        <v>43311</v>
      </c>
      <c r="O25" s="15">
        <f>IFERROR((INDEX('נתוני עזר'!$A$12:$A$15,MATCH(טיולים!D25,'נתוני עזר'!$B$12:$B$15,0))*F25),'נתוני עזר'!$A$17)</f>
        <v>0</v>
      </c>
      <c r="W25" s="41"/>
    </row>
    <row r="26" spans="1:27" x14ac:dyDescent="0.25">
      <c r="A26" s="15">
        <v>7005</v>
      </c>
      <c r="B26" s="16" t="s">
        <v>19</v>
      </c>
      <c r="C26" s="17">
        <v>42822</v>
      </c>
      <c r="D26" s="15" t="s">
        <v>14</v>
      </c>
      <c r="E26" s="15">
        <v>32</v>
      </c>
      <c r="F26" s="15">
        <v>2</v>
      </c>
      <c r="G26" s="15">
        <v>0</v>
      </c>
      <c r="H26" s="15" t="s">
        <v>10</v>
      </c>
      <c r="I26" s="15" t="s">
        <v>9</v>
      </c>
      <c r="J26" s="18">
        <f>(VLOOKUP(D26,'נתוני עזר'!$B$2:$C$5,2,0)*F26+VLOOKUP(D26,'נתוני עזר'!$B$2:$C$5,2,0)*G26*'נתוני עזר'!$F$2)*'נתוני עזר'!$B$8</f>
        <v>7200</v>
      </c>
      <c r="K26" s="18">
        <f t="shared" si="0"/>
        <v>7200</v>
      </c>
      <c r="L26" s="15" t="str">
        <f>_xlfn.XLOOKUP(D26,'נתוני עזר'!$B$2:$B$5,'נתוני עזר'!$A$2:$A$5,,0)</f>
        <v>לא</v>
      </c>
      <c r="M26" s="15" t="str">
        <f>VLOOKUP(טיולים!D26,'נתוני עזר'!$B$12:$C$15,2,0)</f>
        <v>לא</v>
      </c>
      <c r="N26" s="17">
        <f t="shared" si="1"/>
        <v>42822</v>
      </c>
      <c r="O26" s="15">
        <f>IFERROR((INDEX('נתוני עזר'!$A$12:$A$15,MATCH(טיולים!D26,'נתוני עזר'!$B$12:$B$15,0))*F26),'נתוני עזר'!$A$17)</f>
        <v>0</v>
      </c>
      <c r="Q26" s="34" t="s">
        <v>76</v>
      </c>
      <c r="W26" s="41"/>
    </row>
    <row r="27" spans="1:27" x14ac:dyDescent="0.25">
      <c r="A27" s="15">
        <v>3534</v>
      </c>
      <c r="B27" s="16" t="s">
        <v>30</v>
      </c>
      <c r="C27" s="17">
        <v>43106</v>
      </c>
      <c r="D27" s="15" t="s">
        <v>47</v>
      </c>
      <c r="E27" s="15">
        <v>4</v>
      </c>
      <c r="F27" s="15">
        <v>5</v>
      </c>
      <c r="G27" s="15">
        <v>5</v>
      </c>
      <c r="H27" s="15" t="s">
        <v>8</v>
      </c>
      <c r="I27" s="15" t="s">
        <v>9</v>
      </c>
      <c r="J27" s="18">
        <f>(VLOOKUP(D27,'נתוני עזר'!$B$2:$C$5,2,0)*F27+VLOOKUP(D27,'נתוני עזר'!$B$2:$C$5,2,0)*G27*'נתוני עזר'!$F$2)*'נתוני עזר'!$B$8</f>
        <v>23940</v>
      </c>
      <c r="K27" s="18">
        <f t="shared" si="0"/>
        <v>23940</v>
      </c>
      <c r="L27" s="15" t="str">
        <f>_xlfn.XLOOKUP(D27,'נתוני עזר'!$B$2:$B$5,'נתוני עזר'!$A$2:$A$5,,0)</f>
        <v>כן</v>
      </c>
      <c r="M27" s="15" t="str">
        <f>VLOOKUP(טיולים!D27,'נתוני עזר'!$B$12:$C$15,2,0)</f>
        <v>כן</v>
      </c>
      <c r="N27" s="17">
        <f t="shared" si="1"/>
        <v>43137</v>
      </c>
      <c r="O27" s="15">
        <f>IFERROR((INDEX('נתוני עזר'!$A$12:$A$15,MATCH(טיולים!D27,'נתוני עזר'!$B$12:$B$15,0))*F27),'נתוני עזר'!$A$17)</f>
        <v>1000</v>
      </c>
      <c r="Q27" s="15">
        <f>SUM(R20:R23)</f>
        <v>31</v>
      </c>
      <c r="W27" s="41"/>
    </row>
    <row r="28" spans="1:27" x14ac:dyDescent="0.25">
      <c r="A28" s="15">
        <v>7806</v>
      </c>
      <c r="B28" s="16" t="s">
        <v>37</v>
      </c>
      <c r="C28" s="17">
        <v>43274</v>
      </c>
      <c r="D28" s="15" t="s">
        <v>56</v>
      </c>
      <c r="E28" s="15">
        <v>26</v>
      </c>
      <c r="F28" s="15">
        <v>9</v>
      </c>
      <c r="G28" s="15">
        <v>3</v>
      </c>
      <c r="H28" s="15" t="s">
        <v>10</v>
      </c>
      <c r="I28" s="15" t="s">
        <v>9</v>
      </c>
      <c r="J28" s="18">
        <f>(VLOOKUP(D28,'נתוני עזר'!$B$2:$C$5,2,0)*F28+VLOOKUP(D28,'נתוני עזר'!$B$2:$C$5,2,0)*G28*'נתוני עזר'!$F$2)*'נתוני עזר'!$B$8</f>
        <v>29376</v>
      </c>
      <c r="K28" s="18">
        <f t="shared" si="0"/>
        <v>29376</v>
      </c>
      <c r="L28" s="15" t="str">
        <f>_xlfn.XLOOKUP(D28,'נתוני עזר'!$B$2:$B$5,'נתוני עזר'!$A$2:$A$5,,0)</f>
        <v>לא</v>
      </c>
      <c r="M28" s="15" t="str">
        <f>VLOOKUP(טיולים!D28,'נתוני עזר'!$B$12:$C$15,2,0)</f>
        <v>לא</v>
      </c>
      <c r="N28" s="17">
        <f t="shared" si="1"/>
        <v>43274</v>
      </c>
      <c r="O28" s="15">
        <f>IFERROR((INDEX('נתוני עזר'!$A$12:$A$15,MATCH(טיולים!D28,'נתוני עזר'!$B$12:$B$15,0))*F28),'נתוני עזר'!$A$17)</f>
        <v>0</v>
      </c>
      <c r="Q28" s="15">
        <f>SUM(R22:R23)</f>
        <v>21</v>
      </c>
      <c r="W28" s="41"/>
    </row>
    <row r="29" spans="1:27" x14ac:dyDescent="0.25">
      <c r="A29" s="15">
        <v>2488</v>
      </c>
      <c r="B29" s="16" t="s">
        <v>40</v>
      </c>
      <c r="C29" s="17">
        <v>43105</v>
      </c>
      <c r="D29" s="15" t="s">
        <v>47</v>
      </c>
      <c r="E29" s="15">
        <v>14</v>
      </c>
      <c r="F29" s="15">
        <v>7</v>
      </c>
      <c r="G29" s="15">
        <v>0</v>
      </c>
      <c r="H29" s="15" t="s">
        <v>8</v>
      </c>
      <c r="I29" s="15" t="s">
        <v>11</v>
      </c>
      <c r="J29" s="18">
        <f>(VLOOKUP(D29,'נתוני עזר'!$B$2:$C$5,2,0)*F29+VLOOKUP(D29,'נתוני עזר'!$B$2:$C$5,2,0)*G29*'נתוני עזר'!$F$2)*'נתוני עזר'!$B$8</f>
        <v>23940</v>
      </c>
      <c r="K29" s="18">
        <f t="shared" si="0"/>
        <v>23940</v>
      </c>
      <c r="L29" s="15" t="str">
        <f>_xlfn.XLOOKUP(D29,'נתוני עזר'!$B$2:$B$5,'נתוני עזר'!$A$2:$A$5,,0)</f>
        <v>כן</v>
      </c>
      <c r="M29" s="15" t="str">
        <f>VLOOKUP(טיולים!D29,'נתוני עזר'!$B$12:$C$15,2,0)</f>
        <v>כן</v>
      </c>
      <c r="N29" s="17">
        <f t="shared" si="1"/>
        <v>43136</v>
      </c>
      <c r="O29" s="15">
        <f>IFERROR((INDEX('נתוני עזר'!$A$12:$A$15,MATCH(טיולים!D29,'נתוני עזר'!$B$12:$B$15,0))*F29),'נתוני עזר'!$A$17)</f>
        <v>1400</v>
      </c>
      <c r="Q29" s="20">
        <f>Q28/Q27</f>
        <v>0.67741935483870963</v>
      </c>
      <c r="W29" s="41"/>
    </row>
    <row r="30" spans="1:27" x14ac:dyDescent="0.25">
      <c r="A30" s="15">
        <v>9238</v>
      </c>
      <c r="B30" s="16" t="s">
        <v>27</v>
      </c>
      <c r="C30" s="17">
        <v>43236</v>
      </c>
      <c r="D30" s="15" t="s">
        <v>56</v>
      </c>
      <c r="E30" s="15">
        <v>5</v>
      </c>
      <c r="F30" s="15">
        <v>10</v>
      </c>
      <c r="G30" s="15">
        <v>3</v>
      </c>
      <c r="H30" s="15" t="s">
        <v>8</v>
      </c>
      <c r="I30" s="15" t="s">
        <v>9</v>
      </c>
      <c r="J30" s="18">
        <f>(VLOOKUP(D30,'נתוני עזר'!$B$2:$C$5,2,0)*F30+VLOOKUP(D30,'נתוני עזר'!$B$2:$C$5,2,0)*G30*'נתוני עזר'!$F$2)*'נתוני עזר'!$B$8</f>
        <v>32256</v>
      </c>
      <c r="K30" s="18">
        <f t="shared" si="0"/>
        <v>32256</v>
      </c>
      <c r="L30" s="15" t="str">
        <f>_xlfn.XLOOKUP(D30,'נתוני עזר'!$B$2:$B$5,'נתוני עזר'!$A$2:$A$5,,0)</f>
        <v>לא</v>
      </c>
      <c r="M30" s="15" t="str">
        <f>VLOOKUP(טיולים!D30,'נתוני עזר'!$B$12:$C$15,2,0)</f>
        <v>לא</v>
      </c>
      <c r="N30" s="17">
        <f t="shared" si="1"/>
        <v>43267</v>
      </c>
      <c r="O30" s="15">
        <f>IFERROR((INDEX('נתוני עזר'!$A$12:$A$15,MATCH(טיולים!D30,'נתוני עזר'!$B$12:$B$15,0))*F30),'נתוני עזר'!$A$17)</f>
        <v>0</v>
      </c>
      <c r="W30" s="41"/>
    </row>
    <row r="31" spans="1:27" x14ac:dyDescent="0.25">
      <c r="A31" s="15">
        <v>3418</v>
      </c>
      <c r="B31" s="16" t="s">
        <v>18</v>
      </c>
      <c r="C31" s="17">
        <v>42923</v>
      </c>
      <c r="D31" s="15" t="s">
        <v>47</v>
      </c>
      <c r="E31" s="15">
        <v>23</v>
      </c>
      <c r="F31" s="15">
        <v>1</v>
      </c>
      <c r="G31" s="15">
        <v>3</v>
      </c>
      <c r="H31" s="15" t="s">
        <v>10</v>
      </c>
      <c r="I31" s="15" t="s">
        <v>11</v>
      </c>
      <c r="J31" s="18">
        <f>(VLOOKUP(D31,'נתוני עזר'!$B$2:$C$5,2,0)*F31+VLOOKUP(D31,'נתוני עזר'!$B$2:$C$5,2,0)*G31*'נתוני עזר'!$F$2)*'נתוני עזר'!$B$8</f>
        <v>7524</v>
      </c>
      <c r="K31" s="18">
        <f t="shared" si="0"/>
        <v>7524</v>
      </c>
      <c r="L31" s="15" t="str">
        <f>_xlfn.XLOOKUP(D31,'נתוני עזר'!$B$2:$B$5,'נתוני עזר'!$A$2:$A$5,,0)</f>
        <v>כן</v>
      </c>
      <c r="M31" s="15" t="str">
        <f>VLOOKUP(טיולים!D31,'נתוני עזר'!$B$12:$C$15,2,0)</f>
        <v>כן</v>
      </c>
      <c r="N31" s="17">
        <f t="shared" si="1"/>
        <v>42928</v>
      </c>
      <c r="O31" s="15">
        <f>IFERROR((INDEX('נתוני עזר'!$A$12:$A$15,MATCH(טיולים!D31,'נתוני עזר'!$B$12:$B$15,0))*F31),'נתוני עזר'!$A$17)</f>
        <v>200</v>
      </c>
      <c r="W31" s="41"/>
    </row>
    <row r="32" spans="1:27" x14ac:dyDescent="0.25">
      <c r="A32" s="15">
        <v>8783</v>
      </c>
      <c r="B32" s="16" t="s">
        <v>21</v>
      </c>
      <c r="C32" s="17">
        <v>42934</v>
      </c>
      <c r="D32" s="15" t="s">
        <v>56</v>
      </c>
      <c r="E32" s="15">
        <v>25</v>
      </c>
      <c r="F32" s="15">
        <v>1</v>
      </c>
      <c r="G32" s="15">
        <v>2</v>
      </c>
      <c r="H32" s="15" t="s">
        <v>10</v>
      </c>
      <c r="I32" s="15" t="s">
        <v>9</v>
      </c>
      <c r="J32" s="18">
        <f>(VLOOKUP(D32,'נתוני עזר'!$B$2:$C$5,2,0)*F32+VLOOKUP(D32,'נתוני עזר'!$B$2:$C$5,2,0)*G32*'נתוני עזר'!$F$2)*'נתוני עזר'!$B$8</f>
        <v>5184</v>
      </c>
      <c r="K32" s="18">
        <f t="shared" si="0"/>
        <v>5184</v>
      </c>
      <c r="L32" s="15" t="str">
        <f>_xlfn.XLOOKUP(D32,'נתוני עזר'!$B$2:$B$5,'נתוני עזר'!$A$2:$A$5,,0)</f>
        <v>לא</v>
      </c>
      <c r="M32" s="15" t="str">
        <f>VLOOKUP(טיולים!D32,'נתוני עזר'!$B$12:$C$15,2,0)</f>
        <v>לא</v>
      </c>
      <c r="N32" s="17">
        <f t="shared" si="1"/>
        <v>42934</v>
      </c>
      <c r="O32" s="15">
        <f>IFERROR((INDEX('נתוני עזר'!$A$12:$A$15,MATCH(טיולים!D32,'נתוני עזר'!$B$12:$B$15,0))*F32),'נתוני עזר'!$A$17)</f>
        <v>0</v>
      </c>
    </row>
    <row r="38" spans="10:21" x14ac:dyDescent="0.25">
      <c r="J38" s="15">
        <v>2</v>
      </c>
      <c r="T38" s="15">
        <v>1</v>
      </c>
      <c r="U38" s="15">
        <v>1</v>
      </c>
    </row>
    <row r="39" spans="10:21" x14ac:dyDescent="0.25">
      <c r="J39" s="15">
        <v>3</v>
      </c>
      <c r="T39" s="15">
        <v>2</v>
      </c>
      <c r="U39" s="15">
        <v>1</v>
      </c>
    </row>
    <row r="40" spans="10:21" x14ac:dyDescent="0.25">
      <c r="J40" s="15" t="s">
        <v>56</v>
      </c>
      <c r="T40" s="15">
        <v>3</v>
      </c>
      <c r="U40" s="15">
        <v>1</v>
      </c>
    </row>
    <row r="41" spans="10:21" x14ac:dyDescent="0.25">
      <c r="J41" s="15" t="s">
        <v>13</v>
      </c>
      <c r="T41" s="15">
        <v>4</v>
      </c>
      <c r="U41" s="15">
        <v>2</v>
      </c>
    </row>
    <row r="42" spans="10:21" x14ac:dyDescent="0.25">
      <c r="J42" s="15" t="s">
        <v>9</v>
      </c>
      <c r="T42" s="15">
        <v>5</v>
      </c>
      <c r="U42" s="15">
        <v>2</v>
      </c>
    </row>
    <row r="43" spans="10:21" x14ac:dyDescent="0.25">
      <c r="J43" s="19">
        <v>0.1</v>
      </c>
      <c r="T43" s="15">
        <v>6</v>
      </c>
      <c r="U43" s="15">
        <v>2</v>
      </c>
    </row>
    <row r="44" spans="10:21" x14ac:dyDescent="0.25">
      <c r="T44" s="15">
        <v>7</v>
      </c>
      <c r="U44" s="15">
        <v>3</v>
      </c>
    </row>
    <row r="45" spans="10:21" x14ac:dyDescent="0.25">
      <c r="T45" s="15">
        <v>8</v>
      </c>
      <c r="U45" s="15">
        <v>3</v>
      </c>
    </row>
    <row r="46" spans="10:21" x14ac:dyDescent="0.25">
      <c r="T46" s="15">
        <v>9</v>
      </c>
      <c r="U46" s="15">
        <v>3</v>
      </c>
    </row>
    <row r="47" spans="10:21" x14ac:dyDescent="0.25">
      <c r="T47" s="15">
        <v>10</v>
      </c>
      <c r="U47" s="15">
        <v>4</v>
      </c>
    </row>
    <row r="48" spans="10:21" x14ac:dyDescent="0.25">
      <c r="T48" s="15">
        <v>11</v>
      </c>
      <c r="U48" s="15">
        <v>4</v>
      </c>
    </row>
    <row r="49" spans="20:21" x14ac:dyDescent="0.25">
      <c r="T49" s="15">
        <v>12</v>
      </c>
      <c r="U49" s="15">
        <v>4</v>
      </c>
    </row>
  </sheetData>
  <sortState xmlns:xlrd2="http://schemas.microsoft.com/office/spreadsheetml/2017/richdata2" ref="B2:N32">
    <sortCondition ref="B2:B32"/>
    <sortCondition descending="1" ref="E2:E32"/>
  </sortState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4">
    <tabColor rgb="FFFF0000"/>
  </sheetPr>
  <dimension ref="A3:B15"/>
  <sheetViews>
    <sheetView rightToLeft="1" workbookViewId="0">
      <selection activeCell="B21" sqref="B21"/>
    </sheetView>
  </sheetViews>
  <sheetFormatPr defaultColWidth="8.796875" defaultRowHeight="13.8" x14ac:dyDescent="0.25"/>
  <cols>
    <col min="1" max="1" width="12" customWidth="1"/>
    <col min="2" max="2" width="31.19921875" bestFit="1" customWidth="1"/>
    <col min="3" max="3" width="5" customWidth="1"/>
    <col min="4" max="4" width="6.19921875" customWidth="1"/>
    <col min="5" max="5" width="4.19921875" customWidth="1"/>
    <col min="6" max="6" width="8.19921875" customWidth="1"/>
  </cols>
  <sheetData>
    <row r="3" spans="1:2" x14ac:dyDescent="0.25">
      <c r="A3" s="13" t="s">
        <v>64</v>
      </c>
      <c r="B3" t="s">
        <v>74</v>
      </c>
    </row>
    <row r="4" spans="1:2" x14ac:dyDescent="0.25">
      <c r="A4" s="4" t="s">
        <v>14</v>
      </c>
      <c r="B4">
        <v>24336</v>
      </c>
    </row>
    <row r="5" spans="1:2" x14ac:dyDescent="0.25">
      <c r="A5" s="4" t="s">
        <v>13</v>
      </c>
      <c r="B5">
        <v>24388.2</v>
      </c>
    </row>
    <row r="6" spans="1:2" x14ac:dyDescent="0.25">
      <c r="A6" s="4" t="s">
        <v>47</v>
      </c>
      <c r="B6">
        <v>25422</v>
      </c>
    </row>
    <row r="7" spans="1:2" x14ac:dyDescent="0.25">
      <c r="A7" s="4" t="s">
        <v>56</v>
      </c>
      <c r="B7">
        <v>23624.86153846154</v>
      </c>
    </row>
    <row r="8" spans="1:2" x14ac:dyDescent="0.25">
      <c r="A8" s="4" t="s">
        <v>63</v>
      </c>
      <c r="B8">
        <v>24251.341935483873</v>
      </c>
    </row>
    <row r="12" spans="1:2" x14ac:dyDescent="0.25">
      <c r="A12" s="4" t="s">
        <v>14</v>
      </c>
      <c r="B12">
        <f>AVERAGEIF(טיולים!$D$2:$D$32,גרף!A12,טיולים!$K$2:$K$32)</f>
        <v>24336</v>
      </c>
    </row>
    <row r="13" spans="1:2" x14ac:dyDescent="0.25">
      <c r="A13" s="4" t="s">
        <v>13</v>
      </c>
      <c r="B13">
        <f>AVERAGEIF(טיולים!$D$2:$D$32,גרף!A13,טיולים!$K$2:$K$32)</f>
        <v>24388.2</v>
      </c>
    </row>
    <row r="14" spans="1:2" x14ac:dyDescent="0.25">
      <c r="A14" s="4" t="s">
        <v>47</v>
      </c>
      <c r="B14">
        <f>AVERAGEIF(טיולים!$D$2:$D$32,גרף!A14,טיולים!$K$2:$K$32)</f>
        <v>25422</v>
      </c>
    </row>
    <row r="15" spans="1:2" x14ac:dyDescent="0.25">
      <c r="A15" s="4" t="s">
        <v>56</v>
      </c>
      <c r="B15">
        <f>AVERAGEIF(טיולים!$D$2:$D$32,גרף!A15,טיולים!$K$2:$K$32)</f>
        <v>23624.86153846154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5">
    <tabColor rgb="FF7030A0"/>
  </sheetPr>
  <dimension ref="A1:B6"/>
  <sheetViews>
    <sheetView rightToLeft="1" workbookViewId="0">
      <selection activeCell="B37" sqref="B37"/>
    </sheetView>
  </sheetViews>
  <sheetFormatPr defaultColWidth="8.796875" defaultRowHeight="13.8" x14ac:dyDescent="0.25"/>
  <cols>
    <col min="1" max="1" width="12" customWidth="1"/>
    <col min="2" max="2" width="33" customWidth="1"/>
  </cols>
  <sheetData>
    <row r="1" spans="1:2" x14ac:dyDescent="0.25">
      <c r="A1" s="13" t="s">
        <v>1</v>
      </c>
      <c r="B1" s="4" t="s">
        <v>14</v>
      </c>
    </row>
    <row r="3" spans="1:2" x14ac:dyDescent="0.25">
      <c r="A3" s="13" t="s">
        <v>64</v>
      </c>
      <c r="B3" t="s">
        <v>67</v>
      </c>
    </row>
    <row r="4" spans="1:2" x14ac:dyDescent="0.25">
      <c r="A4" s="4" t="s">
        <v>65</v>
      </c>
      <c r="B4">
        <v>32400</v>
      </c>
    </row>
    <row r="5" spans="1:2" x14ac:dyDescent="0.25">
      <c r="A5" s="4" t="s">
        <v>66</v>
      </c>
      <c r="B5">
        <v>38880</v>
      </c>
    </row>
    <row r="6" spans="1:2" x14ac:dyDescent="0.25">
      <c r="A6" s="4" t="s">
        <v>63</v>
      </c>
      <c r="B6">
        <v>38880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6">
    <tabColor theme="8" tint="0.39997558519241921"/>
  </sheetPr>
  <dimension ref="A1:AB43"/>
  <sheetViews>
    <sheetView rightToLeft="1" topLeftCell="C24" workbookViewId="0">
      <selection activeCell="D10" sqref="D10"/>
    </sheetView>
  </sheetViews>
  <sheetFormatPr defaultColWidth="9" defaultRowHeight="13.8" x14ac:dyDescent="0.25"/>
  <cols>
    <col min="1" max="1" width="9.19921875" style="15" customWidth="1"/>
    <col min="2" max="2" width="8.19921875" style="16" customWidth="1"/>
    <col min="3" max="3" width="12.19921875" style="15" customWidth="1"/>
    <col min="4" max="4" width="7.19921875" style="15" customWidth="1"/>
    <col min="5" max="5" width="8" style="15" customWidth="1"/>
    <col min="6" max="6" width="7.69921875" style="15" customWidth="1"/>
    <col min="7" max="7" width="6.69921875" style="15" customWidth="1"/>
    <col min="8" max="8" width="7.69921875" style="15" customWidth="1"/>
    <col min="9" max="9" width="11.19921875" style="15" customWidth="1"/>
    <col min="10" max="10" width="12.19921875" style="15" customWidth="1"/>
    <col min="11" max="11" width="11" style="15" customWidth="1"/>
    <col min="12" max="12" width="8.19921875" style="15" customWidth="1"/>
    <col min="13" max="13" width="13.5" style="15" customWidth="1"/>
    <col min="14" max="15" width="7.69921875" style="15" customWidth="1"/>
    <col min="16" max="16384" width="9" style="15"/>
  </cols>
  <sheetData>
    <row r="1" spans="1:28" s="14" customFormat="1" ht="45.75" customHeight="1" x14ac:dyDescent="0.25">
      <c r="A1" s="31" t="s">
        <v>0</v>
      </c>
      <c r="B1" s="31" t="s">
        <v>45</v>
      </c>
      <c r="C1" s="31" t="s">
        <v>58</v>
      </c>
      <c r="D1" s="31" t="s">
        <v>1</v>
      </c>
      <c r="E1" s="31" t="s">
        <v>2</v>
      </c>
      <c r="F1" s="31" t="s">
        <v>3</v>
      </c>
      <c r="G1" s="31" t="s">
        <v>4</v>
      </c>
      <c r="H1" s="31" t="s">
        <v>6</v>
      </c>
      <c r="I1" s="31" t="s">
        <v>7</v>
      </c>
      <c r="J1" s="31" t="s">
        <v>55</v>
      </c>
      <c r="K1" s="31" t="s">
        <v>57</v>
      </c>
      <c r="L1" s="31" t="s">
        <v>5</v>
      </c>
      <c r="N1" s="31"/>
      <c r="O1" s="31"/>
      <c r="P1" s="31"/>
    </row>
    <row r="2" spans="1:28" ht="15.6" x14ac:dyDescent="0.3">
      <c r="A2" s="1">
        <v>2260</v>
      </c>
      <c r="B2" s="3" t="s">
        <v>28</v>
      </c>
      <c r="C2" s="2">
        <v>43210</v>
      </c>
      <c r="D2" s="1" t="s">
        <v>14</v>
      </c>
      <c r="E2" s="1">
        <v>37</v>
      </c>
      <c r="F2" s="1">
        <v>6</v>
      </c>
      <c r="G2" s="1">
        <v>3</v>
      </c>
      <c r="H2" s="1" t="s">
        <v>8</v>
      </c>
      <c r="I2" s="1" t="s">
        <v>11</v>
      </c>
      <c r="J2" s="12">
        <f>(VLOOKUP(D2,'נתוני עזר'!$B$2:$C$5,2,0)*F2+VLOOKUP(D2,'נתוני עזר'!$B$2:$C$5,2,0)*G2*'נתוני עזר'!$F$2)*'נתוני עזר'!$B$8</f>
        <v>25920</v>
      </c>
      <c r="K2" s="12">
        <f>J2-(IF(AND(OR(D2=$J$40,D2=$J$41),OR(MONTH(C2)=$J$38,MONTH(C2)=$J$39),I2=$J$42),J2*$J$43,$J$44))</f>
        <v>25920</v>
      </c>
      <c r="L2" s="1" t="str">
        <f>INDEX('נתוני עזר'!$A$2:$A$5,MATCH(D2,'נתוני עזר'!$B$2:$B$5,0))</f>
        <v>לא</v>
      </c>
      <c r="M2" s="1"/>
    </row>
    <row r="3" spans="1:28" ht="15.6" x14ac:dyDescent="0.3">
      <c r="A3" s="1">
        <v>4578</v>
      </c>
      <c r="B3" s="3" t="s">
        <v>17</v>
      </c>
      <c r="C3" s="2">
        <v>43164</v>
      </c>
      <c r="D3" s="1" t="s">
        <v>56</v>
      </c>
      <c r="E3" s="1">
        <v>21</v>
      </c>
      <c r="F3" s="1">
        <v>2</v>
      </c>
      <c r="G3" s="1">
        <v>4</v>
      </c>
      <c r="H3" s="1" t="s">
        <v>8</v>
      </c>
      <c r="I3" s="1" t="s">
        <v>9</v>
      </c>
      <c r="J3" s="12">
        <f>(VLOOKUP(D3,'נתוני עזר'!$B$2:$C$5,2,0)*F3+VLOOKUP(D3,'נתוני עזר'!$B$2:$C$5,2,0)*G3*'נתוני עזר'!$F$2)*'נתוני עזר'!$B$8</f>
        <v>10368</v>
      </c>
      <c r="K3" s="12">
        <f t="shared" ref="K3:K32" si="0">J3-(IF(AND(OR(D3=$J$40,D3=$J$41),OR(MONTH(C3)=$J$38,MONTH(C3)=$J$39),I3=$J$42),J3*$J$43,$J$44))</f>
        <v>9331.2000000000007</v>
      </c>
      <c r="L3" s="1" t="str">
        <f>INDEX('נתוני עזר'!$A$2:$A$5,MATCH(D3,'נתוני עזר'!$B$2:$B$5,0))</f>
        <v>לא</v>
      </c>
      <c r="M3" s="1"/>
    </row>
    <row r="4" spans="1:28" ht="31.2" x14ac:dyDescent="0.3">
      <c r="A4" s="1">
        <v>3423</v>
      </c>
      <c r="B4" s="3" t="s">
        <v>22</v>
      </c>
      <c r="C4" s="2">
        <v>43140</v>
      </c>
      <c r="D4" s="1" t="s">
        <v>14</v>
      </c>
      <c r="E4" s="1">
        <v>5</v>
      </c>
      <c r="F4" s="1">
        <v>1</v>
      </c>
      <c r="G4" s="1">
        <v>3</v>
      </c>
      <c r="H4" s="1" t="s">
        <v>8</v>
      </c>
      <c r="I4" s="1" t="s">
        <v>12</v>
      </c>
      <c r="J4" s="12">
        <f>(VLOOKUP(D4,'נתוני עזר'!$B$2:$C$5,2,0)*F4+VLOOKUP(D4,'נתוני עזר'!$B$2:$C$5,2,0)*G4*'נתוני עזר'!$F$2)*'נתוני עזר'!$B$8</f>
        <v>7920</v>
      </c>
      <c r="K4" s="12">
        <f t="shared" si="0"/>
        <v>7920</v>
      </c>
      <c r="L4" s="1" t="str">
        <f>INDEX('נתוני עזר'!$A$2:$A$5,MATCH(D4,'נתוני עזר'!$B$2:$B$5,0))</f>
        <v>לא</v>
      </c>
      <c r="M4" s="1"/>
      <c r="P4" s="37" t="s">
        <v>5</v>
      </c>
      <c r="Q4" s="38"/>
    </row>
    <row r="5" spans="1:28" ht="15.6" x14ac:dyDescent="0.3">
      <c r="A5" s="1">
        <v>7998</v>
      </c>
      <c r="B5" s="3" t="s">
        <v>36</v>
      </c>
      <c r="C5" s="2">
        <v>43329</v>
      </c>
      <c r="D5" s="1" t="s">
        <v>14</v>
      </c>
      <c r="E5" s="1">
        <v>12</v>
      </c>
      <c r="F5" s="1">
        <v>10</v>
      </c>
      <c r="G5" s="1">
        <v>2</v>
      </c>
      <c r="H5" s="1" t="s">
        <v>10</v>
      </c>
      <c r="I5" s="1" t="s">
        <v>9</v>
      </c>
      <c r="J5" s="12">
        <f>(VLOOKUP(D5,'נתוני עזר'!$B$2:$C$5,2,0)*F5+VLOOKUP(D5,'נתוני עזר'!$B$2:$C$5,2,0)*G5*'נתוני עזר'!$F$2)*'נתוני עזר'!$B$8</f>
        <v>38880</v>
      </c>
      <c r="K5" s="12">
        <f t="shared" si="0"/>
        <v>38880</v>
      </c>
      <c r="L5" s="1" t="str">
        <f>INDEX('נתוני עזר'!$A$2:$A$5,MATCH(D5,'נתוני עזר'!$B$2:$B$5,0))</f>
        <v>לא</v>
      </c>
      <c r="M5" s="1"/>
      <c r="P5" s="38" t="s">
        <v>8</v>
      </c>
      <c r="Q5" s="38" t="b">
        <f>MONTH(C2)&gt;=10</f>
        <v>0</v>
      </c>
    </row>
    <row r="6" spans="1:28" ht="15.6" x14ac:dyDescent="0.3">
      <c r="A6" s="1">
        <v>5327</v>
      </c>
      <c r="B6" s="3" t="s">
        <v>39</v>
      </c>
      <c r="C6" s="2">
        <v>42866</v>
      </c>
      <c r="D6" s="1" t="s">
        <v>56</v>
      </c>
      <c r="E6" s="1">
        <v>35</v>
      </c>
      <c r="F6" s="1">
        <v>12</v>
      </c>
      <c r="G6" s="1">
        <v>3</v>
      </c>
      <c r="H6" s="1" t="s">
        <v>8</v>
      </c>
      <c r="I6" s="1" t="s">
        <v>11</v>
      </c>
      <c r="J6" s="12">
        <f>(VLOOKUP(D6,'נתוני עזר'!$B$2:$C$5,2,0)*F6+VLOOKUP(D6,'נתוני עזר'!$B$2:$C$5,2,0)*G6*'נתוני עזר'!$F$2)*'נתוני עזר'!$B$8</f>
        <v>38016</v>
      </c>
      <c r="K6" s="12">
        <f t="shared" si="0"/>
        <v>38016</v>
      </c>
      <c r="L6" s="1" t="str">
        <f>INDEX('נתוני עזר'!$A$2:$A$5,MATCH(D6,'נתוני עזר'!$B$2:$B$5,0))</f>
        <v>לא</v>
      </c>
      <c r="M6" s="1"/>
    </row>
    <row r="7" spans="1:28" ht="62.4" x14ac:dyDescent="0.3">
      <c r="A7" s="1">
        <v>2976</v>
      </c>
      <c r="B7" s="3" t="s">
        <v>20</v>
      </c>
      <c r="C7" s="2">
        <v>42996</v>
      </c>
      <c r="D7" s="1" t="s">
        <v>56</v>
      </c>
      <c r="E7" s="1">
        <v>15</v>
      </c>
      <c r="F7" s="1">
        <v>7</v>
      </c>
      <c r="G7" s="1">
        <v>0</v>
      </c>
      <c r="H7" s="1" t="s">
        <v>8</v>
      </c>
      <c r="I7" s="1" t="s">
        <v>11</v>
      </c>
      <c r="J7" s="12">
        <f>(VLOOKUP(D7,'נתוני עזר'!$B$2:$C$5,2,0)*F7+VLOOKUP(D7,'נתוני עזר'!$B$2:$C$5,2,0)*G7*'נתוני עזר'!$F$2)*'נתוני עזר'!$B$8</f>
        <v>20160</v>
      </c>
      <c r="K7" s="12">
        <f t="shared" si="0"/>
        <v>20160</v>
      </c>
      <c r="L7" s="1" t="str">
        <f>INDEX('נתוני עזר'!$A$2:$A$5,MATCH(D7,'נתוני עזר'!$B$2:$B$5,0))</f>
        <v>לא</v>
      </c>
      <c r="M7" s="1"/>
      <c r="Q7" s="31" t="s">
        <v>0</v>
      </c>
      <c r="R7" s="31" t="s">
        <v>45</v>
      </c>
      <c r="S7" s="31" t="s">
        <v>58</v>
      </c>
      <c r="T7" s="31" t="s">
        <v>1</v>
      </c>
      <c r="U7" s="31" t="s">
        <v>2</v>
      </c>
      <c r="V7" s="31" t="s">
        <v>3</v>
      </c>
      <c r="W7" s="31" t="s">
        <v>4</v>
      </c>
      <c r="X7" s="31" t="s">
        <v>6</v>
      </c>
      <c r="Y7" s="31" t="s">
        <v>7</v>
      </c>
      <c r="Z7" s="31" t="s">
        <v>55</v>
      </c>
      <c r="AA7" s="31" t="s">
        <v>57</v>
      </c>
      <c r="AB7" s="31" t="s">
        <v>5</v>
      </c>
    </row>
    <row r="8" spans="1:28" ht="15.6" x14ac:dyDescent="0.3">
      <c r="A8" s="1">
        <v>5985</v>
      </c>
      <c r="B8" s="3" t="s">
        <v>15</v>
      </c>
      <c r="C8" s="2">
        <v>43194</v>
      </c>
      <c r="D8" s="1" t="s">
        <v>14</v>
      </c>
      <c r="E8" s="1">
        <v>13</v>
      </c>
      <c r="F8" s="1">
        <v>8</v>
      </c>
      <c r="G8" s="1">
        <v>3</v>
      </c>
      <c r="H8" s="1" t="s">
        <v>8</v>
      </c>
      <c r="I8" s="1" t="s">
        <v>9</v>
      </c>
      <c r="J8" s="12">
        <f>(VLOOKUP(D8,'נתוני עזר'!$B$2:$C$5,2,0)*F8+VLOOKUP(D8,'נתוני עזר'!$B$2:$C$5,2,0)*G8*'נתוני עזר'!$F$2)*'נתוני עזר'!$B$8</f>
        <v>33120</v>
      </c>
      <c r="K8" s="12">
        <f t="shared" si="0"/>
        <v>33120</v>
      </c>
      <c r="L8" s="1" t="str">
        <f>INDEX('נתוני עזר'!$A$2:$A$5,MATCH(D8,'נתוני עזר'!$B$2:$B$5,0))</f>
        <v>לא</v>
      </c>
      <c r="M8" s="1"/>
      <c r="Q8" s="1">
        <v>4074</v>
      </c>
      <c r="R8" s="3" t="s">
        <v>41</v>
      </c>
      <c r="S8" s="2">
        <v>43452</v>
      </c>
      <c r="T8" s="1" t="s">
        <v>47</v>
      </c>
      <c r="U8" s="1">
        <v>12</v>
      </c>
      <c r="V8" s="1">
        <v>12</v>
      </c>
      <c r="W8" s="1">
        <v>3</v>
      </c>
      <c r="X8" s="1" t="s">
        <v>10</v>
      </c>
      <c r="Y8" s="1" t="s">
        <v>9</v>
      </c>
      <c r="Z8" s="12">
        <v>45144</v>
      </c>
      <c r="AA8" s="12">
        <v>45144</v>
      </c>
      <c r="AB8" s="1" t="s">
        <v>8</v>
      </c>
    </row>
    <row r="9" spans="1:28" ht="15.6" x14ac:dyDescent="0.3">
      <c r="A9" s="1">
        <v>8973</v>
      </c>
      <c r="B9" s="3" t="s">
        <v>32</v>
      </c>
      <c r="C9" s="2">
        <v>43062</v>
      </c>
      <c r="D9" s="1" t="s">
        <v>13</v>
      </c>
      <c r="E9" s="1">
        <v>37</v>
      </c>
      <c r="F9" s="1">
        <v>11</v>
      </c>
      <c r="G9" s="1">
        <v>2</v>
      </c>
      <c r="H9" s="1" t="s">
        <v>8</v>
      </c>
      <c r="I9" s="1" t="s">
        <v>9</v>
      </c>
      <c r="J9" s="12">
        <f>(VLOOKUP(D9,'נתוני עזר'!$B$2:$C$5,2,0)*F9+VLOOKUP(D9,'נתוני עזר'!$B$2:$C$5,2,0)*G9*'נתוני עזר'!$F$2)*'נתוני עזר'!$B$8</f>
        <v>36108</v>
      </c>
      <c r="K9" s="12">
        <f t="shared" si="0"/>
        <v>36108</v>
      </c>
      <c r="L9" s="1" t="str">
        <f>INDEX('נתוני עזר'!$A$2:$A$5,MATCH(D9,'נתוני עזר'!$B$2:$B$5,0))</f>
        <v>לא</v>
      </c>
      <c r="M9" s="1"/>
      <c r="Q9" s="1">
        <v>8500</v>
      </c>
      <c r="R9" s="3" t="s">
        <v>44</v>
      </c>
      <c r="S9" s="2">
        <v>43010</v>
      </c>
      <c r="T9" s="1" t="s">
        <v>47</v>
      </c>
      <c r="U9" s="1">
        <v>28</v>
      </c>
      <c r="V9" s="1">
        <v>9</v>
      </c>
      <c r="W9" s="1">
        <v>5</v>
      </c>
      <c r="X9" s="1" t="s">
        <v>10</v>
      </c>
      <c r="Y9" s="1" t="s">
        <v>9</v>
      </c>
      <c r="Z9" s="12">
        <v>37620</v>
      </c>
      <c r="AA9" s="12">
        <v>37620</v>
      </c>
      <c r="AB9" s="1" t="s">
        <v>8</v>
      </c>
    </row>
    <row r="10" spans="1:28" ht="15.6" x14ac:dyDescent="0.3">
      <c r="A10" s="1">
        <v>4517</v>
      </c>
      <c r="B10" s="3" t="s">
        <v>33</v>
      </c>
      <c r="C10" s="2">
        <v>42868</v>
      </c>
      <c r="D10" s="1" t="s">
        <v>56</v>
      </c>
      <c r="E10" s="1">
        <v>11</v>
      </c>
      <c r="F10" s="1">
        <v>11</v>
      </c>
      <c r="G10" s="1">
        <v>1</v>
      </c>
      <c r="H10" s="1" t="s">
        <v>10</v>
      </c>
      <c r="I10" s="1" t="s">
        <v>11</v>
      </c>
      <c r="J10" s="12">
        <f>(VLOOKUP(D10,'נתוני עזר'!$B$2:$C$5,2,0)*F10+VLOOKUP(D10,'נתוני עזר'!$B$2:$C$5,2,0)*G10*'נתוני עזר'!$F$2)*'נתוני עזר'!$B$8</f>
        <v>32832</v>
      </c>
      <c r="K10" s="12">
        <f t="shared" si="0"/>
        <v>32832</v>
      </c>
      <c r="L10" s="1" t="str">
        <f>INDEX('נתוני עזר'!$A$2:$A$5,MATCH(D10,'נתוני עזר'!$B$2:$B$5,0))</f>
        <v>לא</v>
      </c>
      <c r="M10" s="1"/>
    </row>
    <row r="11" spans="1:28" ht="15.6" x14ac:dyDescent="0.3">
      <c r="A11" s="1">
        <v>4970</v>
      </c>
      <c r="B11" s="3" t="s">
        <v>29</v>
      </c>
      <c r="C11" s="2">
        <v>43051</v>
      </c>
      <c r="D11" s="1" t="s">
        <v>56</v>
      </c>
      <c r="E11" s="1">
        <v>7</v>
      </c>
      <c r="F11" s="1">
        <v>3</v>
      </c>
      <c r="G11" s="1">
        <v>5</v>
      </c>
      <c r="H11" s="1" t="s">
        <v>8</v>
      </c>
      <c r="I11" s="1" t="s">
        <v>9</v>
      </c>
      <c r="J11" s="12">
        <f>(VLOOKUP(D11,'נתוני עזר'!$B$2:$C$5,2,0)*F11+VLOOKUP(D11,'נתוני עזר'!$B$2:$C$5,2,0)*G11*'נתוני עזר'!$F$2)*'נתוני עזר'!$B$8</f>
        <v>14400</v>
      </c>
      <c r="K11" s="12">
        <f t="shared" si="0"/>
        <v>14400</v>
      </c>
      <c r="L11" s="1" t="str">
        <f>INDEX('נתוני עזר'!$A$2:$A$5,MATCH(D11,'נתוני עזר'!$B$2:$B$5,0))</f>
        <v>לא</v>
      </c>
      <c r="M11" s="1"/>
    </row>
    <row r="12" spans="1:28" ht="15.6" x14ac:dyDescent="0.3">
      <c r="A12" s="1">
        <v>4074</v>
      </c>
      <c r="B12" s="3" t="s">
        <v>41</v>
      </c>
      <c r="C12" s="2">
        <v>43452</v>
      </c>
      <c r="D12" s="1" t="s">
        <v>47</v>
      </c>
      <c r="E12" s="1">
        <v>12</v>
      </c>
      <c r="F12" s="1">
        <v>12</v>
      </c>
      <c r="G12" s="1">
        <v>3</v>
      </c>
      <c r="H12" s="1" t="s">
        <v>10</v>
      </c>
      <c r="I12" s="1" t="s">
        <v>9</v>
      </c>
      <c r="J12" s="12">
        <f>(VLOOKUP(D12,'נתוני עזר'!$B$2:$C$5,2,0)*F12+VLOOKUP(D12,'נתוני עזר'!$B$2:$C$5,2,0)*G12*'נתוני עזר'!$F$2)*'נתוני עזר'!$B$8</f>
        <v>45144</v>
      </c>
      <c r="K12" s="12">
        <f t="shared" si="0"/>
        <v>45144</v>
      </c>
      <c r="L12" s="1" t="str">
        <f>INDEX('נתוני עזר'!$A$2:$A$5,MATCH(D12,'נתוני עזר'!$B$2:$B$5,0))</f>
        <v>כן</v>
      </c>
      <c r="M12" s="1"/>
    </row>
    <row r="13" spans="1:28" ht="15.6" x14ac:dyDescent="0.3">
      <c r="A13" s="1">
        <v>1926</v>
      </c>
      <c r="B13" s="3" t="s">
        <v>26</v>
      </c>
      <c r="C13" s="2">
        <v>42819</v>
      </c>
      <c r="D13" s="1" t="s">
        <v>56</v>
      </c>
      <c r="E13" s="1">
        <v>20</v>
      </c>
      <c r="F13" s="1">
        <v>6</v>
      </c>
      <c r="G13" s="1">
        <v>0</v>
      </c>
      <c r="H13" s="1" t="s">
        <v>8</v>
      </c>
      <c r="I13" s="1" t="s">
        <v>9</v>
      </c>
      <c r="J13" s="12">
        <f>(VLOOKUP(D13,'נתוני עזר'!$B$2:$C$5,2,0)*F13+VLOOKUP(D13,'נתוני עזר'!$B$2:$C$5,2,0)*G13*'נתוני עזר'!$F$2)*'נתוני עזר'!$B$8</f>
        <v>17280</v>
      </c>
      <c r="K13" s="12">
        <f t="shared" si="0"/>
        <v>15552</v>
      </c>
      <c r="L13" s="1" t="str">
        <f>INDEX('נתוני עזר'!$A$2:$A$5,MATCH(D13,'נתוני עזר'!$B$2:$B$5,0))</f>
        <v>לא</v>
      </c>
      <c r="M13" s="1"/>
    </row>
    <row r="14" spans="1:28" ht="15.6" x14ac:dyDescent="0.3">
      <c r="A14" s="1">
        <v>2018</v>
      </c>
      <c r="B14" s="3" t="s">
        <v>38</v>
      </c>
      <c r="C14" s="2">
        <v>43147</v>
      </c>
      <c r="D14" s="1" t="s">
        <v>14</v>
      </c>
      <c r="E14" s="1">
        <v>16</v>
      </c>
      <c r="F14" s="1">
        <v>7</v>
      </c>
      <c r="G14" s="1">
        <v>4</v>
      </c>
      <c r="H14" s="1" t="s">
        <v>8</v>
      </c>
      <c r="I14" s="1" t="s">
        <v>12</v>
      </c>
      <c r="J14" s="12">
        <f>(VLOOKUP(D14,'נתוני עזר'!$B$2:$C$5,2,0)*F14+VLOOKUP(D14,'נתוני עזר'!$B$2:$C$5,2,0)*G14*'נתוני עזר'!$F$2)*'נתוני עזר'!$B$8</f>
        <v>30960</v>
      </c>
      <c r="K14" s="12">
        <f t="shared" si="0"/>
        <v>30960</v>
      </c>
      <c r="L14" s="1" t="str">
        <f>INDEX('נתוני עזר'!$A$2:$A$5,MATCH(D14,'נתוני עזר'!$B$2:$B$5,0))</f>
        <v>לא</v>
      </c>
      <c r="M14" s="1"/>
    </row>
    <row r="15" spans="1:28" ht="15.6" x14ac:dyDescent="0.3">
      <c r="A15" s="1">
        <v>8150</v>
      </c>
      <c r="B15" s="3" t="s">
        <v>16</v>
      </c>
      <c r="C15" s="2">
        <v>42809</v>
      </c>
      <c r="D15" s="1" t="s">
        <v>14</v>
      </c>
      <c r="E15" s="1">
        <v>8</v>
      </c>
      <c r="F15" s="1">
        <v>7</v>
      </c>
      <c r="G15" s="1">
        <v>5</v>
      </c>
      <c r="H15" s="1" t="s">
        <v>8</v>
      </c>
      <c r="I15" s="1" t="s">
        <v>9</v>
      </c>
      <c r="J15" s="12">
        <f>(VLOOKUP(D15,'נתוני עזר'!$B$2:$C$5,2,0)*F15+VLOOKUP(D15,'נתוני עזר'!$B$2:$C$5,2,0)*G15*'נתוני עזר'!$F$2)*'נתוני עזר'!$B$8</f>
        <v>32400</v>
      </c>
      <c r="K15" s="12">
        <f t="shared" si="0"/>
        <v>32400</v>
      </c>
      <c r="L15" s="1" t="str">
        <f>INDEX('נתוני עזר'!$A$2:$A$5,MATCH(D15,'נתוני עזר'!$B$2:$B$5,0))</f>
        <v>לא</v>
      </c>
      <c r="M15" s="1"/>
    </row>
    <row r="16" spans="1:28" ht="15.6" x14ac:dyDescent="0.3">
      <c r="A16" s="1">
        <v>1929</v>
      </c>
      <c r="B16" s="3" t="s">
        <v>42</v>
      </c>
      <c r="C16" s="2">
        <v>42874</v>
      </c>
      <c r="D16" s="1" t="s">
        <v>56</v>
      </c>
      <c r="E16" s="1">
        <v>18</v>
      </c>
      <c r="F16" s="1">
        <v>10</v>
      </c>
      <c r="G16" s="1">
        <v>0</v>
      </c>
      <c r="H16" s="1" t="s">
        <v>8</v>
      </c>
      <c r="I16" s="1" t="s">
        <v>11</v>
      </c>
      <c r="J16" s="12">
        <f>(VLOOKUP(D16,'נתוני עזר'!$B$2:$C$5,2,0)*F16+VLOOKUP(D16,'נתוני עזר'!$B$2:$C$5,2,0)*G16*'נתוני עזר'!$F$2)*'נתוני עזר'!$B$8</f>
        <v>28800</v>
      </c>
      <c r="K16" s="12">
        <f t="shared" si="0"/>
        <v>28800</v>
      </c>
      <c r="L16" s="1" t="str">
        <f>INDEX('נתוני עזר'!$A$2:$A$5,MATCH(D16,'נתוני עזר'!$B$2:$B$5,0))</f>
        <v>לא</v>
      </c>
      <c r="M16" s="1"/>
    </row>
    <row r="17" spans="1:13" ht="15.6" x14ac:dyDescent="0.3">
      <c r="A17" s="1">
        <v>7754</v>
      </c>
      <c r="B17" s="3" t="s">
        <v>34</v>
      </c>
      <c r="C17" s="2">
        <v>43246</v>
      </c>
      <c r="D17" s="1" t="s">
        <v>14</v>
      </c>
      <c r="E17" s="1">
        <v>28</v>
      </c>
      <c r="F17" s="1">
        <v>7</v>
      </c>
      <c r="G17" s="1">
        <v>4</v>
      </c>
      <c r="H17" s="1" t="s">
        <v>8</v>
      </c>
      <c r="I17" s="1" t="s">
        <v>12</v>
      </c>
      <c r="J17" s="12">
        <f>(VLOOKUP(D17,'נתוני עזר'!$B$2:$C$5,2,0)*F17+VLOOKUP(D17,'נתוני עזר'!$B$2:$C$5,2,0)*G17*'נתוני עזר'!$F$2)*'נתוני עזר'!$B$8</f>
        <v>30960</v>
      </c>
      <c r="K17" s="12">
        <f t="shared" si="0"/>
        <v>30960</v>
      </c>
      <c r="L17" s="1" t="str">
        <f>INDEX('נתוני עזר'!$A$2:$A$5,MATCH(D17,'נתוני עזר'!$B$2:$B$5,0))</f>
        <v>לא</v>
      </c>
      <c r="M17" s="1"/>
    </row>
    <row r="18" spans="1:13" ht="15.6" x14ac:dyDescent="0.3">
      <c r="A18" s="1">
        <v>8437</v>
      </c>
      <c r="B18" s="3" t="s">
        <v>25</v>
      </c>
      <c r="C18" s="2">
        <v>43118</v>
      </c>
      <c r="D18" s="1" t="s">
        <v>56</v>
      </c>
      <c r="E18" s="1">
        <v>24</v>
      </c>
      <c r="F18" s="1">
        <v>9</v>
      </c>
      <c r="G18" s="1">
        <v>3</v>
      </c>
      <c r="H18" s="1" t="s">
        <v>10</v>
      </c>
      <c r="I18" s="1" t="s">
        <v>11</v>
      </c>
      <c r="J18" s="12">
        <f>(VLOOKUP(D18,'נתוני עזר'!$B$2:$C$5,2,0)*F18+VLOOKUP(D18,'נתוני עזר'!$B$2:$C$5,2,0)*G18*'נתוני עזר'!$F$2)*'נתוני עזר'!$B$8</f>
        <v>29376</v>
      </c>
      <c r="K18" s="12">
        <f t="shared" si="0"/>
        <v>29376</v>
      </c>
      <c r="L18" s="1" t="str">
        <f>INDEX('נתוני עזר'!$A$2:$A$5,MATCH(D18,'נתוני עזר'!$B$2:$B$5,0))</f>
        <v>לא</v>
      </c>
      <c r="M18" s="1"/>
    </row>
    <row r="19" spans="1:13" ht="15.6" x14ac:dyDescent="0.3">
      <c r="A19" s="1">
        <v>2526</v>
      </c>
      <c r="B19" s="3" t="s">
        <v>43</v>
      </c>
      <c r="C19" s="2">
        <v>42947</v>
      </c>
      <c r="D19" s="1" t="s">
        <v>56</v>
      </c>
      <c r="E19" s="1">
        <v>14</v>
      </c>
      <c r="F19" s="1">
        <v>10</v>
      </c>
      <c r="G19" s="1">
        <v>0</v>
      </c>
      <c r="H19" s="1" t="s">
        <v>10</v>
      </c>
      <c r="I19" s="1" t="s">
        <v>9</v>
      </c>
      <c r="J19" s="12">
        <f>(VLOOKUP(D19,'נתוני עזר'!$B$2:$C$5,2,0)*F19+VLOOKUP(D19,'נתוני עזר'!$B$2:$C$5,2,0)*G19*'נתוני עזר'!$F$2)*'נתוני עזר'!$B$8</f>
        <v>28800</v>
      </c>
      <c r="K19" s="12">
        <f t="shared" si="0"/>
        <v>28800</v>
      </c>
      <c r="L19" s="1" t="str">
        <f>INDEX('נתוני עזר'!$A$2:$A$5,MATCH(D19,'נתוני עזר'!$B$2:$B$5,0))</f>
        <v>לא</v>
      </c>
      <c r="M19" s="1"/>
    </row>
    <row r="20" spans="1:13" ht="15.6" x14ac:dyDescent="0.3">
      <c r="A20" s="1">
        <v>4433</v>
      </c>
      <c r="B20" s="3" t="s">
        <v>35</v>
      </c>
      <c r="C20" s="2">
        <v>43147</v>
      </c>
      <c r="D20" s="1" t="s">
        <v>47</v>
      </c>
      <c r="E20" s="1">
        <v>14</v>
      </c>
      <c r="F20" s="1">
        <v>3</v>
      </c>
      <c r="G20" s="1">
        <v>3</v>
      </c>
      <c r="H20" s="1" t="s">
        <v>8</v>
      </c>
      <c r="I20" s="1" t="s">
        <v>12</v>
      </c>
      <c r="J20" s="12">
        <f>(VLOOKUP(D20,'נתוני עזר'!$B$2:$C$5,2,0)*F20+VLOOKUP(D20,'נתוני עזר'!$B$2:$C$5,2,0)*G20*'נתוני עזר'!$F$2)*'נתוני עזר'!$B$8</f>
        <v>14364</v>
      </c>
      <c r="K20" s="12">
        <f t="shared" si="0"/>
        <v>14364</v>
      </c>
      <c r="L20" s="1" t="str">
        <f>INDEX('נתוני עזר'!$A$2:$A$5,MATCH(D20,'נתוני עזר'!$B$2:$B$5,0))</f>
        <v>כן</v>
      </c>
      <c r="M20" s="1"/>
    </row>
    <row r="21" spans="1:13" ht="15.6" x14ac:dyDescent="0.3">
      <c r="A21" s="1">
        <v>8460</v>
      </c>
      <c r="B21" s="3" t="s">
        <v>46</v>
      </c>
      <c r="C21" s="2">
        <v>43247</v>
      </c>
      <c r="D21" s="1" t="s">
        <v>14</v>
      </c>
      <c r="E21" s="1">
        <v>20</v>
      </c>
      <c r="F21" s="1">
        <v>2</v>
      </c>
      <c r="G21" s="1">
        <v>5</v>
      </c>
      <c r="H21" s="1" t="s">
        <v>8</v>
      </c>
      <c r="I21" s="1" t="s">
        <v>11</v>
      </c>
      <c r="J21" s="12">
        <f>(VLOOKUP(D21,'נתוני עזר'!$B$2:$C$5,2,0)*F21+VLOOKUP(D21,'נתוני עזר'!$B$2:$C$5,2,0)*G21*'נתוני עזר'!$F$2)*'נתוני עזר'!$B$8</f>
        <v>14400</v>
      </c>
      <c r="K21" s="12">
        <f t="shared" si="0"/>
        <v>14400</v>
      </c>
      <c r="L21" s="1" t="str">
        <f>INDEX('נתוני עזר'!$A$2:$A$5,MATCH(D21,'נתוני עזר'!$B$2:$B$5,0))</f>
        <v>לא</v>
      </c>
      <c r="M21" s="1"/>
    </row>
    <row r="22" spans="1:13" ht="15.6" x14ac:dyDescent="0.3">
      <c r="A22" s="1">
        <v>8606</v>
      </c>
      <c r="B22" s="3" t="s">
        <v>31</v>
      </c>
      <c r="C22" s="2">
        <v>42785</v>
      </c>
      <c r="D22" s="1" t="s">
        <v>13</v>
      </c>
      <c r="E22" s="1">
        <v>34</v>
      </c>
      <c r="F22" s="1">
        <v>3</v>
      </c>
      <c r="G22" s="1">
        <v>4</v>
      </c>
      <c r="H22" s="1" t="s">
        <v>10</v>
      </c>
      <c r="I22" s="1" t="s">
        <v>9</v>
      </c>
      <c r="J22" s="12">
        <f>(VLOOKUP(D22,'נתוני עזר'!$B$2:$C$5,2,0)*F22+VLOOKUP(D22,'נתוני עזר'!$B$2:$C$5,2,0)*G22*'נתוני עזר'!$F$2)*'נתוני עזר'!$B$8</f>
        <v>14076</v>
      </c>
      <c r="K22" s="12">
        <f t="shared" si="0"/>
        <v>12668.4</v>
      </c>
      <c r="L22" s="1" t="str">
        <f>INDEX('נתוני עזר'!$A$2:$A$5,MATCH(D22,'נתוני עזר'!$B$2:$B$5,0))</f>
        <v>לא</v>
      </c>
      <c r="M22" s="1"/>
    </row>
    <row r="23" spans="1:13" ht="15.6" x14ac:dyDescent="0.3">
      <c r="A23" s="1">
        <v>8500</v>
      </c>
      <c r="B23" s="3" t="s">
        <v>44</v>
      </c>
      <c r="C23" s="2">
        <v>43010</v>
      </c>
      <c r="D23" s="1" t="s">
        <v>47</v>
      </c>
      <c r="E23" s="1">
        <v>28</v>
      </c>
      <c r="F23" s="1">
        <v>9</v>
      </c>
      <c r="G23" s="1">
        <v>5</v>
      </c>
      <c r="H23" s="1" t="s">
        <v>10</v>
      </c>
      <c r="I23" s="1" t="s">
        <v>9</v>
      </c>
      <c r="J23" s="12">
        <f>(VLOOKUP(D23,'נתוני עזר'!$B$2:$C$5,2,0)*F23+VLOOKUP(D23,'נתוני עזר'!$B$2:$C$5,2,0)*G23*'נתוני עזר'!$F$2)*'נתוני עזר'!$B$8</f>
        <v>37620</v>
      </c>
      <c r="K23" s="12">
        <f t="shared" si="0"/>
        <v>37620</v>
      </c>
      <c r="L23" s="1" t="str">
        <f>INDEX('נתוני עזר'!$A$2:$A$5,MATCH(D23,'נתוני עזר'!$B$2:$B$5,0))</f>
        <v>כן</v>
      </c>
      <c r="M23" s="1"/>
    </row>
    <row r="24" spans="1:13" ht="15.6" x14ac:dyDescent="0.3">
      <c r="A24" s="1">
        <v>2461</v>
      </c>
      <c r="B24" s="3" t="s">
        <v>24</v>
      </c>
      <c r="C24" s="2">
        <v>42857</v>
      </c>
      <c r="D24" s="1" t="s">
        <v>56</v>
      </c>
      <c r="E24" s="1">
        <v>6</v>
      </c>
      <c r="F24" s="1">
        <v>8</v>
      </c>
      <c r="G24" s="1">
        <v>0</v>
      </c>
      <c r="H24" s="1" t="s">
        <v>10</v>
      </c>
      <c r="I24" s="1" t="s">
        <v>9</v>
      </c>
      <c r="J24" s="12">
        <f>(VLOOKUP(D24,'נתוני עזר'!$B$2:$C$5,2,0)*F24+VLOOKUP(D24,'נתוני עזר'!$B$2:$C$5,2,0)*G24*'נתוני עזר'!$F$2)*'נתוני עזר'!$B$8</f>
        <v>23040</v>
      </c>
      <c r="K24" s="12">
        <f t="shared" si="0"/>
        <v>23040</v>
      </c>
      <c r="L24" s="1" t="str">
        <f>INDEX('נתוני עזר'!$A$2:$A$5,MATCH(D24,'נתוני עזר'!$B$2:$B$5,0))</f>
        <v>לא</v>
      </c>
      <c r="M24" s="1"/>
    </row>
    <row r="25" spans="1:13" ht="15.6" x14ac:dyDescent="0.3">
      <c r="A25" s="1">
        <v>4120</v>
      </c>
      <c r="B25" s="3" t="s">
        <v>23</v>
      </c>
      <c r="C25" s="2">
        <v>43311</v>
      </c>
      <c r="D25" s="1" t="s">
        <v>14</v>
      </c>
      <c r="E25" s="1">
        <v>6</v>
      </c>
      <c r="F25" s="1">
        <v>4</v>
      </c>
      <c r="G25" s="1">
        <v>5</v>
      </c>
      <c r="H25" s="1" t="s">
        <v>10</v>
      </c>
      <c r="I25" s="1" t="s">
        <v>11</v>
      </c>
      <c r="J25" s="12">
        <f>(VLOOKUP(D25,'נתוני עזר'!$B$2:$C$5,2,0)*F25+VLOOKUP(D25,'נתוני עזר'!$B$2:$C$5,2,0)*G25*'נתוני עזר'!$F$2)*'נתוני עזר'!$B$8</f>
        <v>21600</v>
      </c>
      <c r="K25" s="12">
        <f t="shared" si="0"/>
        <v>21600</v>
      </c>
      <c r="L25" s="1" t="str">
        <f>INDEX('נתוני עזר'!$A$2:$A$5,MATCH(D25,'נתוני עזר'!$B$2:$B$5,0))</f>
        <v>לא</v>
      </c>
      <c r="M25" s="1"/>
    </row>
    <row r="26" spans="1:13" ht="15.6" x14ac:dyDescent="0.3">
      <c r="A26" s="1">
        <v>7005</v>
      </c>
      <c r="B26" s="3" t="s">
        <v>19</v>
      </c>
      <c r="C26" s="2">
        <v>42822</v>
      </c>
      <c r="D26" s="1" t="s">
        <v>14</v>
      </c>
      <c r="E26" s="1">
        <v>32</v>
      </c>
      <c r="F26" s="1">
        <v>2</v>
      </c>
      <c r="G26" s="1">
        <v>0</v>
      </c>
      <c r="H26" s="1" t="s">
        <v>10</v>
      </c>
      <c r="I26" s="1" t="s">
        <v>9</v>
      </c>
      <c r="J26" s="12">
        <f>(VLOOKUP(D26,'נתוני עזר'!$B$2:$C$5,2,0)*F26+VLOOKUP(D26,'נתוני עזר'!$B$2:$C$5,2,0)*G26*'נתוני עזר'!$F$2)*'נתוני עזר'!$B$8</f>
        <v>7200</v>
      </c>
      <c r="K26" s="12">
        <f t="shared" si="0"/>
        <v>7200</v>
      </c>
      <c r="L26" s="1" t="str">
        <f>INDEX('נתוני עזר'!$A$2:$A$5,MATCH(D26,'נתוני עזר'!$B$2:$B$5,0))</f>
        <v>לא</v>
      </c>
      <c r="M26" s="1"/>
    </row>
    <row r="27" spans="1:13" ht="15.6" x14ac:dyDescent="0.3">
      <c r="A27" s="1">
        <v>3534</v>
      </c>
      <c r="B27" s="3" t="s">
        <v>30</v>
      </c>
      <c r="C27" s="2">
        <v>43106</v>
      </c>
      <c r="D27" s="1" t="s">
        <v>47</v>
      </c>
      <c r="E27" s="1">
        <v>4</v>
      </c>
      <c r="F27" s="1">
        <v>5</v>
      </c>
      <c r="G27" s="1">
        <v>5</v>
      </c>
      <c r="H27" s="1" t="s">
        <v>8</v>
      </c>
      <c r="I27" s="1" t="s">
        <v>9</v>
      </c>
      <c r="J27" s="12">
        <f>(VLOOKUP(D27,'נתוני עזר'!$B$2:$C$5,2,0)*F27+VLOOKUP(D27,'נתוני עזר'!$B$2:$C$5,2,0)*G27*'נתוני עזר'!$F$2)*'נתוני עזר'!$B$8</f>
        <v>23940</v>
      </c>
      <c r="K27" s="12">
        <f t="shared" si="0"/>
        <v>23940</v>
      </c>
      <c r="L27" s="1" t="str">
        <f>INDEX('נתוני עזר'!$A$2:$A$5,MATCH(D27,'נתוני עזר'!$B$2:$B$5,0))</f>
        <v>כן</v>
      </c>
      <c r="M27" s="1"/>
    </row>
    <row r="28" spans="1:13" ht="15.6" x14ac:dyDescent="0.3">
      <c r="A28" s="1">
        <v>7806</v>
      </c>
      <c r="B28" s="3" t="s">
        <v>37</v>
      </c>
      <c r="C28" s="2">
        <v>43274</v>
      </c>
      <c r="D28" s="1" t="s">
        <v>56</v>
      </c>
      <c r="E28" s="1">
        <v>26</v>
      </c>
      <c r="F28" s="1">
        <v>9</v>
      </c>
      <c r="G28" s="1">
        <v>3</v>
      </c>
      <c r="H28" s="1" t="s">
        <v>10</v>
      </c>
      <c r="I28" s="1" t="s">
        <v>9</v>
      </c>
      <c r="J28" s="12">
        <f>(VLOOKUP(D28,'נתוני עזר'!$B$2:$C$5,2,0)*F28+VLOOKUP(D28,'נתוני עזר'!$B$2:$C$5,2,0)*G28*'נתוני עזר'!$F$2)*'נתוני עזר'!$B$8</f>
        <v>29376</v>
      </c>
      <c r="K28" s="12">
        <f t="shared" si="0"/>
        <v>29376</v>
      </c>
      <c r="L28" s="1" t="str">
        <f>INDEX('נתוני עזר'!$A$2:$A$5,MATCH(D28,'נתוני עזר'!$B$2:$B$5,0))</f>
        <v>לא</v>
      </c>
      <c r="M28" s="1"/>
    </row>
    <row r="29" spans="1:13" ht="15.6" x14ac:dyDescent="0.3">
      <c r="A29" s="1">
        <v>2488</v>
      </c>
      <c r="B29" s="3" t="s">
        <v>40</v>
      </c>
      <c r="C29" s="2">
        <v>43105</v>
      </c>
      <c r="D29" s="1" t="s">
        <v>47</v>
      </c>
      <c r="E29" s="1">
        <v>14</v>
      </c>
      <c r="F29" s="1">
        <v>7</v>
      </c>
      <c r="G29" s="1">
        <v>0</v>
      </c>
      <c r="H29" s="1" t="s">
        <v>8</v>
      </c>
      <c r="I29" s="1" t="s">
        <v>11</v>
      </c>
      <c r="J29" s="12">
        <f>(VLOOKUP(D29,'נתוני עזר'!$B$2:$C$5,2,0)*F29+VLOOKUP(D29,'נתוני עזר'!$B$2:$C$5,2,0)*G29*'נתוני עזר'!$F$2)*'נתוני עזר'!$B$8</f>
        <v>23940</v>
      </c>
      <c r="K29" s="12">
        <f t="shared" si="0"/>
        <v>23940</v>
      </c>
      <c r="L29" s="1" t="str">
        <f>INDEX('נתוני עזר'!$A$2:$A$5,MATCH(D29,'נתוני עזר'!$B$2:$B$5,0))</f>
        <v>כן</v>
      </c>
      <c r="M29" s="1"/>
    </row>
    <row r="30" spans="1:13" ht="15.6" x14ac:dyDescent="0.3">
      <c r="A30" s="1">
        <v>9238</v>
      </c>
      <c r="B30" s="3" t="s">
        <v>27</v>
      </c>
      <c r="C30" s="2">
        <v>43236</v>
      </c>
      <c r="D30" s="1" t="s">
        <v>56</v>
      </c>
      <c r="E30" s="1">
        <v>5</v>
      </c>
      <c r="F30" s="1">
        <v>10</v>
      </c>
      <c r="G30" s="1">
        <v>3</v>
      </c>
      <c r="H30" s="1" t="s">
        <v>8</v>
      </c>
      <c r="I30" s="1" t="s">
        <v>9</v>
      </c>
      <c r="J30" s="12">
        <f>(VLOOKUP(D30,'נתוני עזר'!$B$2:$C$5,2,0)*F30+VLOOKUP(D30,'נתוני עזר'!$B$2:$C$5,2,0)*G30*'נתוני עזר'!$F$2)*'נתוני עזר'!$B$8</f>
        <v>32256</v>
      </c>
      <c r="K30" s="12">
        <f t="shared" si="0"/>
        <v>32256</v>
      </c>
      <c r="L30" s="1" t="str">
        <f>INDEX('נתוני עזר'!$A$2:$A$5,MATCH(D30,'נתוני עזר'!$B$2:$B$5,0))</f>
        <v>לא</v>
      </c>
      <c r="M30" s="1"/>
    </row>
    <row r="31" spans="1:13" ht="15.6" x14ac:dyDescent="0.3">
      <c r="A31" s="1">
        <v>3418</v>
      </c>
      <c r="B31" s="3" t="s">
        <v>18</v>
      </c>
      <c r="C31" s="2">
        <v>42923</v>
      </c>
      <c r="D31" s="1" t="s">
        <v>47</v>
      </c>
      <c r="E31" s="1">
        <v>23</v>
      </c>
      <c r="F31" s="1">
        <v>1</v>
      </c>
      <c r="G31" s="1">
        <v>3</v>
      </c>
      <c r="H31" s="1" t="s">
        <v>10</v>
      </c>
      <c r="I31" s="1" t="s">
        <v>11</v>
      </c>
      <c r="J31" s="12">
        <f>(VLOOKUP(D31,'נתוני עזר'!$B$2:$C$5,2,0)*F31+VLOOKUP(D31,'נתוני עזר'!$B$2:$C$5,2,0)*G31*'נתוני עזר'!$F$2)*'נתוני עזר'!$B$8</f>
        <v>7524</v>
      </c>
      <c r="K31" s="12">
        <f t="shared" si="0"/>
        <v>7524</v>
      </c>
      <c r="L31" s="1" t="str">
        <f>INDEX('נתוני עזר'!$A$2:$A$5,MATCH(D31,'נתוני עזר'!$B$2:$B$5,0))</f>
        <v>כן</v>
      </c>
      <c r="M31" s="1"/>
    </row>
    <row r="32" spans="1:13" ht="15.6" x14ac:dyDescent="0.3">
      <c r="A32" s="1">
        <v>8783</v>
      </c>
      <c r="B32" s="3" t="s">
        <v>21</v>
      </c>
      <c r="C32" s="2">
        <v>42934</v>
      </c>
      <c r="D32" s="1" t="s">
        <v>56</v>
      </c>
      <c r="E32" s="1">
        <v>25</v>
      </c>
      <c r="F32" s="1">
        <v>1</v>
      </c>
      <c r="G32" s="1">
        <v>2</v>
      </c>
      <c r="H32" s="1" t="s">
        <v>10</v>
      </c>
      <c r="I32" s="1" t="s">
        <v>9</v>
      </c>
      <c r="J32" s="12">
        <f>(VLOOKUP(D32,'נתוני עזר'!$B$2:$C$5,2,0)*F32+VLOOKUP(D32,'נתוני עזר'!$B$2:$C$5,2,0)*G32*'נתוני עזר'!$F$2)*'נתוני עזר'!$B$8</f>
        <v>5184</v>
      </c>
      <c r="K32" s="12">
        <f t="shared" si="0"/>
        <v>5184</v>
      </c>
      <c r="L32" s="1" t="str">
        <f>INDEX('נתוני עזר'!$A$2:$A$5,MATCH(D32,'נתוני עזר'!$B$2:$B$5,0))</f>
        <v>לא</v>
      </c>
      <c r="M32" s="1"/>
    </row>
    <row r="36" spans="10:10" ht="15.6" x14ac:dyDescent="0.3">
      <c r="J36" s="1"/>
    </row>
    <row r="38" spans="10:10" x14ac:dyDescent="0.25">
      <c r="J38" s="15">
        <v>2</v>
      </c>
    </row>
    <row r="39" spans="10:10" x14ac:dyDescent="0.25">
      <c r="J39" s="15">
        <v>3</v>
      </c>
    </row>
    <row r="40" spans="10:10" x14ac:dyDescent="0.25">
      <c r="J40" s="15" t="s">
        <v>56</v>
      </c>
    </row>
    <row r="41" spans="10:10" x14ac:dyDescent="0.25">
      <c r="J41" s="15" t="s">
        <v>13</v>
      </c>
    </row>
    <row r="42" spans="10:10" ht="15.6" x14ac:dyDescent="0.3">
      <c r="J42" s="1" t="s">
        <v>9</v>
      </c>
    </row>
    <row r="43" spans="10:10" x14ac:dyDescent="0.25">
      <c r="J43" s="19">
        <v>0.1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7">
    <tabColor theme="9" tint="-0.249977111117893"/>
  </sheetPr>
  <dimension ref="A1:AD49"/>
  <sheetViews>
    <sheetView rightToLeft="1" workbookViewId="0">
      <selection activeCell="R26" sqref="R26"/>
    </sheetView>
  </sheetViews>
  <sheetFormatPr defaultColWidth="9" defaultRowHeight="13.8" x14ac:dyDescent="0.25"/>
  <cols>
    <col min="1" max="1" width="9" style="15"/>
    <col min="2" max="2" width="9.19921875" style="15" bestFit="1" customWidth="1"/>
    <col min="3" max="3" width="8.19921875" style="16" bestFit="1" customWidth="1"/>
    <col min="4" max="4" width="12.19921875" style="15" customWidth="1"/>
    <col min="5" max="5" width="7.19921875" style="15" bestFit="1" customWidth="1"/>
    <col min="6" max="6" width="8" style="15" customWidth="1"/>
    <col min="7" max="7" width="7.69921875" style="15" customWidth="1"/>
    <col min="8" max="8" width="6.69921875" style="15" customWidth="1"/>
    <col min="9" max="9" width="7.69921875" style="15" customWidth="1"/>
    <col min="10" max="10" width="11.19921875" style="15" customWidth="1"/>
    <col min="11" max="11" width="12.19921875" style="15" customWidth="1"/>
    <col min="12" max="12" width="11" style="15" bestFit="1" customWidth="1"/>
    <col min="13" max="13" width="8.19921875" style="15" bestFit="1" customWidth="1"/>
    <col min="14" max="14" width="8.19921875" style="15" customWidth="1"/>
    <col min="15" max="15" width="13.5" style="15" bestFit="1" customWidth="1"/>
    <col min="16" max="16" width="7.69921875" style="15" customWidth="1"/>
    <col min="17" max="16384" width="9" style="15"/>
  </cols>
  <sheetData>
    <row r="1" spans="1:30" s="14" customFormat="1" ht="60.75" customHeight="1" x14ac:dyDescent="0.25">
      <c r="A1" s="14" t="s">
        <v>77</v>
      </c>
      <c r="B1" s="14" t="s">
        <v>0</v>
      </c>
      <c r="C1" s="14" t="s">
        <v>45</v>
      </c>
      <c r="D1" s="14" t="s">
        <v>60</v>
      </c>
      <c r="E1" s="14" t="s">
        <v>1</v>
      </c>
      <c r="F1" s="14" t="s">
        <v>2</v>
      </c>
      <c r="G1" s="14" t="s">
        <v>3</v>
      </c>
      <c r="H1" s="14" t="s">
        <v>4</v>
      </c>
      <c r="I1" s="14" t="s">
        <v>6</v>
      </c>
      <c r="J1" s="14" t="s">
        <v>7</v>
      </c>
      <c r="K1" s="32" t="s">
        <v>55</v>
      </c>
      <c r="L1" s="32" t="s">
        <v>57</v>
      </c>
      <c r="M1" s="32" t="s">
        <v>5</v>
      </c>
      <c r="N1" s="32" t="s">
        <v>69</v>
      </c>
      <c r="O1" s="32" t="s">
        <v>73</v>
      </c>
      <c r="P1" s="32" t="s">
        <v>61</v>
      </c>
      <c r="R1" s="32" t="s">
        <v>70</v>
      </c>
      <c r="S1" s="32" t="s">
        <v>72</v>
      </c>
      <c r="T1" s="14" t="s">
        <v>4</v>
      </c>
      <c r="U1" s="14" t="s">
        <v>7</v>
      </c>
    </row>
    <row r="2" spans="1:30" x14ac:dyDescent="0.25">
      <c r="A2" s="15">
        <v>1</v>
      </c>
      <c r="B2" s="15">
        <v>2260</v>
      </c>
      <c r="C2" s="16" t="s">
        <v>28</v>
      </c>
      <c r="D2" s="17">
        <v>43210</v>
      </c>
      <c r="E2" s="15" t="s">
        <v>14</v>
      </c>
      <c r="F2" s="15">
        <v>37</v>
      </c>
      <c r="G2" s="15">
        <v>6</v>
      </c>
      <c r="H2" s="15">
        <v>3</v>
      </c>
      <c r="I2" s="15" t="s">
        <v>8</v>
      </c>
      <c r="J2" s="15" t="s">
        <v>11</v>
      </c>
      <c r="K2" s="18">
        <f>(VLOOKUP(E2,'נתוני עזר'!$B$2:$C$5,2,0)*G2+VLOOKUP(E2,'נתוני עזר'!$B$2:$C$5,2,0)*H2*'נתוני עזר'!$F$2)*'נתוני עזר'!$B$8</f>
        <v>25920</v>
      </c>
      <c r="L2" s="18">
        <f t="shared" ref="L2:L32" si="0">K2-(IF(AND(OR(E2=$K$40,E2=$K$41),OR(MONTH(D2)=$K$38,MONTH(D2)=$K$39),J2=$K$42),K2*$K$43,$K$44))</f>
        <v>25920</v>
      </c>
      <c r="M2" s="15" t="str">
        <f>INDEX('נתוני עזר'!$A$2:$A$5,MATCH(E2,'נתוני עזר'!$B$2:$B$5,0))</f>
        <v>לא</v>
      </c>
      <c r="N2" s="15" t="str">
        <f>VLOOKUP('מבצע לחג'!E2,'נתוני עזר'!$B$12:$C$15,2,0)</f>
        <v>לא</v>
      </c>
      <c r="O2" s="17">
        <f>IF(I2=$Q$18,DATE(YEAR(D2),MONTH(D2)+$Q$19,DAY(D2)),IF(AND(I2=$Q$20,M2=$Q$21),D2+$Q$23,D2))</f>
        <v>43240</v>
      </c>
      <c r="P2" s="15">
        <f>IFERROR((INDEX('נתוני עזר'!$A$12:$A$15,MATCH('מבצע לחג'!E2,'נתוני עזר'!$B$12:$B$15,0))*G2),'נתוני עזר'!$A$17)</f>
        <v>0</v>
      </c>
      <c r="R2" s="33">
        <f>DAVERAGE($B$1:$N$32,L1,T1:U3)</f>
        <v>24895.980000000003</v>
      </c>
      <c r="T2" s="15">
        <v>0</v>
      </c>
    </row>
    <row r="3" spans="1:30" ht="14.4" thickBot="1" x14ac:dyDescent="0.3">
      <c r="A3" s="15">
        <v>2</v>
      </c>
      <c r="B3" s="15">
        <v>4578</v>
      </c>
      <c r="C3" s="16" t="s">
        <v>17</v>
      </c>
      <c r="D3" s="17">
        <v>43164</v>
      </c>
      <c r="E3" s="15" t="s">
        <v>56</v>
      </c>
      <c r="F3" s="15">
        <v>21</v>
      </c>
      <c r="G3" s="15">
        <v>2</v>
      </c>
      <c r="H3" s="15">
        <v>4</v>
      </c>
      <c r="I3" s="15" t="s">
        <v>8</v>
      </c>
      <c r="J3" s="15" t="s">
        <v>9</v>
      </c>
      <c r="K3" s="18">
        <f>(VLOOKUP(E3,'נתוני עזר'!$B$2:$C$5,2,0)*G3+VLOOKUP(E3,'נתוני עזר'!$B$2:$C$5,2,0)*H3*'נתוני עזר'!$F$2)*'נתוני עזר'!$B$8</f>
        <v>10368</v>
      </c>
      <c r="L3" s="18">
        <f t="shared" si="0"/>
        <v>9331.2000000000007</v>
      </c>
      <c r="M3" s="15" t="str">
        <f>INDEX('נתוני עזר'!$A$2:$A$5,MATCH(E3,'נתוני עזר'!$B$2:$B$5,0))</f>
        <v>לא</v>
      </c>
      <c r="N3" s="15" t="str">
        <f>VLOOKUP('מבצע לחג'!E3,'נתוני עזר'!$B$12:$C$15,2,0)</f>
        <v>לא</v>
      </c>
      <c r="O3" s="17">
        <f t="shared" ref="O3:O32" si="1">IF(I3=$Q$18,DATE(YEAR(D3),MONTH(D3)+$Q$19,DAY(D3)),IF(AND(I3=$Q$20,M3=$Q$21),D3+$Q$23,D3))</f>
        <v>43195</v>
      </c>
      <c r="P3" s="15">
        <f>IFERROR((INDEX('נתוני עזר'!$A$12:$A$15,MATCH('מבצע לחג'!E3,'נתוני עזר'!$B$12:$B$15,0))*G3),'נתוני עזר'!$A$17)</f>
        <v>0</v>
      </c>
      <c r="U3" s="15" t="s">
        <v>9</v>
      </c>
      <c r="AC3" s="16"/>
    </row>
    <row r="4" spans="1:30" x14ac:dyDescent="0.25">
      <c r="A4" s="15">
        <v>3</v>
      </c>
      <c r="B4" s="15">
        <v>3423</v>
      </c>
      <c r="C4" s="16" t="s">
        <v>22</v>
      </c>
      <c r="D4" s="17">
        <v>43140</v>
      </c>
      <c r="E4" s="15" t="s">
        <v>14</v>
      </c>
      <c r="F4" s="15">
        <v>5</v>
      </c>
      <c r="G4" s="15">
        <v>1</v>
      </c>
      <c r="H4" s="15">
        <v>3</v>
      </c>
      <c r="I4" s="15" t="s">
        <v>8</v>
      </c>
      <c r="J4" s="15" t="s">
        <v>12</v>
      </c>
      <c r="K4" s="18">
        <f>(VLOOKUP(E4,'נתוני עזר'!$B$2:$C$5,2,0)*G4+VLOOKUP(E4,'נתוני עזר'!$B$2:$C$5,2,0)*H4*'נתוני עזר'!$F$2)*'נתוני עזר'!$B$8</f>
        <v>7920</v>
      </c>
      <c r="L4" s="18">
        <f t="shared" si="0"/>
        <v>7920</v>
      </c>
      <c r="M4" s="15" t="str">
        <f>INDEX('נתוני עזר'!$A$2:$A$5,MATCH(E4,'נתוני עזר'!$B$2:$B$5,0))</f>
        <v>לא</v>
      </c>
      <c r="N4" s="15" t="str">
        <f>VLOOKUP('מבצע לחג'!E4,'נתוני עזר'!$B$12:$C$15,2,0)</f>
        <v>לא</v>
      </c>
      <c r="O4" s="17">
        <f t="shared" si="1"/>
        <v>43168</v>
      </c>
      <c r="P4" s="15">
        <f>IFERROR((INDEX('נתוני עזר'!$A$12:$A$15,MATCH('מבצע לחג'!E4,'נתוני עזר'!$B$12:$B$15,0))*G4),'נתוני עזר'!$A$17)</f>
        <v>0</v>
      </c>
      <c r="AA4" s="21"/>
      <c r="AB4" s="22"/>
      <c r="AC4" s="23"/>
      <c r="AD4" s="24"/>
    </row>
    <row r="5" spans="1:30" x14ac:dyDescent="0.25">
      <c r="A5" s="15">
        <v>4</v>
      </c>
      <c r="B5" s="15">
        <v>7998</v>
      </c>
      <c r="C5" s="16" t="s">
        <v>36</v>
      </c>
      <c r="D5" s="17">
        <v>43329</v>
      </c>
      <c r="E5" s="15" t="s">
        <v>14</v>
      </c>
      <c r="F5" s="15">
        <v>12</v>
      </c>
      <c r="G5" s="15">
        <v>10</v>
      </c>
      <c r="H5" s="15">
        <v>2</v>
      </c>
      <c r="I5" s="15" t="s">
        <v>10</v>
      </c>
      <c r="J5" s="15" t="s">
        <v>9</v>
      </c>
      <c r="K5" s="18">
        <f>(VLOOKUP(E5,'נתוני עזר'!$B$2:$C$5,2,0)*G5+VLOOKUP(E5,'נתוני עזר'!$B$2:$C$5,2,0)*H5*'נתוני עזר'!$F$2)*'נתוני עזר'!$B$8</f>
        <v>38880</v>
      </c>
      <c r="L5" s="18">
        <f t="shared" si="0"/>
        <v>38880</v>
      </c>
      <c r="M5" s="15" t="str">
        <f>INDEX('נתוני עזר'!$A$2:$A$5,MATCH(E5,'נתוני עזר'!$B$2:$B$5,0))</f>
        <v>לא</v>
      </c>
      <c r="N5" s="15" t="str">
        <f>VLOOKUP('מבצע לחג'!E5,'נתוני עזר'!$B$12:$C$15,2,0)</f>
        <v>לא</v>
      </c>
      <c r="O5" s="17">
        <f t="shared" si="1"/>
        <v>43329</v>
      </c>
      <c r="P5" s="15">
        <f>IFERROR((INDEX('נתוני עזר'!$A$12:$A$15,MATCH('מבצע לחג'!E5,'נתוני עזר'!$B$12:$B$15,0))*G5),'נתוני עזר'!$A$17)</f>
        <v>0</v>
      </c>
      <c r="AA5" s="25"/>
      <c r="AC5" s="16"/>
      <c r="AD5" s="26"/>
    </row>
    <row r="6" spans="1:30" x14ac:dyDescent="0.25">
      <c r="A6" s="15">
        <v>5</v>
      </c>
      <c r="B6" s="15">
        <v>5327</v>
      </c>
      <c r="C6" s="16" t="s">
        <v>39</v>
      </c>
      <c r="D6" s="17">
        <v>42866</v>
      </c>
      <c r="E6" s="15" t="s">
        <v>56</v>
      </c>
      <c r="F6" s="15">
        <v>35</v>
      </c>
      <c r="G6" s="15">
        <v>12</v>
      </c>
      <c r="H6" s="15">
        <v>3</v>
      </c>
      <c r="I6" s="15" t="s">
        <v>8</v>
      </c>
      <c r="J6" s="15" t="s">
        <v>11</v>
      </c>
      <c r="K6" s="18">
        <f>(VLOOKUP(E6,'נתוני עזר'!$B$2:$C$5,2,0)*G6+VLOOKUP(E6,'נתוני עזר'!$B$2:$C$5,2,0)*H6*'נתוני עזר'!$F$2)*'נתוני עזר'!$B$8</f>
        <v>38016</v>
      </c>
      <c r="L6" s="18">
        <f t="shared" si="0"/>
        <v>38016</v>
      </c>
      <c r="M6" s="15" t="str">
        <f>INDEX('נתוני עזר'!$A$2:$A$5,MATCH(E6,'נתוני עזר'!$B$2:$B$5,0))</f>
        <v>לא</v>
      </c>
      <c r="N6" s="15" t="str">
        <f>VLOOKUP('מבצע לחג'!E6,'נתוני עזר'!$B$12:$C$15,2,0)</f>
        <v>לא</v>
      </c>
      <c r="O6" s="17">
        <f t="shared" si="1"/>
        <v>42897</v>
      </c>
      <c r="P6" s="15">
        <f>IFERROR((INDEX('נתוני עזר'!$A$12:$A$15,MATCH('מבצע לחג'!E6,'נתוני עזר'!$B$12:$B$15,0))*G6),'נתוני עזר'!$A$17)</f>
        <v>0</v>
      </c>
      <c r="AA6" s="25"/>
      <c r="AC6" s="16"/>
      <c r="AD6" s="26"/>
    </row>
    <row r="7" spans="1:30" x14ac:dyDescent="0.25">
      <c r="A7" s="15">
        <v>6</v>
      </c>
      <c r="B7" s="15">
        <v>2976</v>
      </c>
      <c r="C7" s="16" t="s">
        <v>20</v>
      </c>
      <c r="D7" s="17">
        <v>42996</v>
      </c>
      <c r="E7" s="15" t="s">
        <v>56</v>
      </c>
      <c r="F7" s="15">
        <v>15</v>
      </c>
      <c r="G7" s="15">
        <v>7</v>
      </c>
      <c r="H7" s="15">
        <v>0</v>
      </c>
      <c r="I7" s="15" t="s">
        <v>8</v>
      </c>
      <c r="J7" s="15" t="s">
        <v>11</v>
      </c>
      <c r="K7" s="18">
        <f>(VLOOKUP(E7,'נתוני עזר'!$B$2:$C$5,2,0)*G7+VLOOKUP(E7,'נתוני עזר'!$B$2:$C$5,2,0)*H7*'נתוני עזר'!$F$2)*'נתוני עזר'!$B$8</f>
        <v>20160</v>
      </c>
      <c r="L7" s="18">
        <f t="shared" si="0"/>
        <v>20160</v>
      </c>
      <c r="M7" s="15" t="str">
        <f>INDEX('נתוני עזר'!$A$2:$A$5,MATCH(E7,'נתוני עזר'!$B$2:$B$5,0))</f>
        <v>לא</v>
      </c>
      <c r="N7" s="15" t="str">
        <f>VLOOKUP('מבצע לחג'!E7,'נתוני עזר'!$B$12:$C$15,2,0)</f>
        <v>לא</v>
      </c>
      <c r="O7" s="17">
        <f t="shared" si="1"/>
        <v>43026</v>
      </c>
      <c r="P7" s="15">
        <f>IFERROR((INDEX('נתוני עזר'!$A$12:$A$15,MATCH('מבצע לחג'!E7,'נתוני עזר'!$B$12:$B$15,0))*G7),'נתוני עזר'!$A$17)</f>
        <v>0</v>
      </c>
      <c r="R7" s="34" t="s">
        <v>71</v>
      </c>
      <c r="AA7" s="25"/>
      <c r="AB7" s="15">
        <v>31</v>
      </c>
      <c r="AC7" s="16"/>
      <c r="AD7" s="26"/>
    </row>
    <row r="8" spans="1:30" x14ac:dyDescent="0.25">
      <c r="A8" s="15">
        <v>7</v>
      </c>
      <c r="B8" s="15">
        <v>5985</v>
      </c>
      <c r="C8" s="16" t="s">
        <v>15</v>
      </c>
      <c r="D8" s="17">
        <v>43194</v>
      </c>
      <c r="E8" s="15" t="s">
        <v>14</v>
      </c>
      <c r="F8" s="15">
        <v>13</v>
      </c>
      <c r="G8" s="15">
        <v>8</v>
      </c>
      <c r="H8" s="15">
        <v>3</v>
      </c>
      <c r="I8" s="15" t="s">
        <v>8</v>
      </c>
      <c r="J8" s="15" t="s">
        <v>9</v>
      </c>
      <c r="K8" s="18">
        <f>(VLOOKUP(E8,'נתוני עזר'!$B$2:$C$5,2,0)*G8+VLOOKUP(E8,'נתוני עזר'!$B$2:$C$5,2,0)*H8*'נתוני עזר'!$F$2)*'נתוני עזר'!$B$8</f>
        <v>33120</v>
      </c>
      <c r="L8" s="18">
        <f t="shared" si="0"/>
        <v>33120</v>
      </c>
      <c r="M8" s="15" t="str">
        <f>INDEX('נתוני עזר'!$A$2:$A$5,MATCH(E8,'נתוני עזר'!$B$2:$B$5,0))</f>
        <v>לא</v>
      </c>
      <c r="N8" s="15" t="str">
        <f>VLOOKUP('מבצע לחג'!E8,'נתוני עזר'!$B$12:$C$15,2,0)</f>
        <v>לא</v>
      </c>
      <c r="O8" s="17">
        <f t="shared" si="1"/>
        <v>43224</v>
      </c>
      <c r="P8" s="15">
        <f>IFERROR((INDEX('נתוני עזר'!$A$12:$A$15,MATCH('מבצע לחג'!E8,'נתוני עזר'!$B$12:$B$15,0))*G8),'נתוני עזר'!$A$17)</f>
        <v>0</v>
      </c>
      <c r="R8" s="15">
        <f>R2</f>
        <v>24895.980000000003</v>
      </c>
      <c r="S8" s="19">
        <v>0.05</v>
      </c>
      <c r="T8" s="19">
        <v>0.1</v>
      </c>
      <c r="U8" s="19">
        <v>0.15</v>
      </c>
      <c r="V8" s="19">
        <v>0.2</v>
      </c>
      <c r="AA8" s="25"/>
      <c r="AB8" s="15">
        <v>1</v>
      </c>
      <c r="AC8" s="16"/>
      <c r="AD8" s="26"/>
    </row>
    <row r="9" spans="1:30" x14ac:dyDescent="0.25">
      <c r="A9" s="15">
        <v>8</v>
      </c>
      <c r="B9" s="15">
        <v>8973</v>
      </c>
      <c r="C9" s="16" t="s">
        <v>32</v>
      </c>
      <c r="D9" s="17">
        <v>43062</v>
      </c>
      <c r="E9" s="15" t="s">
        <v>13</v>
      </c>
      <c r="F9" s="15">
        <v>37</v>
      </c>
      <c r="G9" s="15">
        <v>11</v>
      </c>
      <c r="H9" s="15">
        <v>2</v>
      </c>
      <c r="I9" s="15" t="s">
        <v>8</v>
      </c>
      <c r="J9" s="15" t="s">
        <v>9</v>
      </c>
      <c r="K9" s="18">
        <f>(VLOOKUP(E9,'נתוני עזר'!$B$2:$C$5,2,0)*G9+VLOOKUP(E9,'נתוני עזר'!$B$2:$C$5,2,0)*H9*'נתוני עזר'!$F$2)*'נתוני עזר'!$B$8</f>
        <v>36108</v>
      </c>
      <c r="L9" s="18">
        <f t="shared" si="0"/>
        <v>36108</v>
      </c>
      <c r="M9" s="15" t="str">
        <f>INDEX('נתוני עזר'!$A$2:$A$5,MATCH(E9,'נתוני עזר'!$B$2:$B$5,0))</f>
        <v>לא</v>
      </c>
      <c r="N9" s="15" t="str">
        <f>VLOOKUP('מבצע לחג'!E9,'נתוני עזר'!$B$12:$C$15,2,0)</f>
        <v>לא</v>
      </c>
      <c r="O9" s="17">
        <f t="shared" si="1"/>
        <v>43092</v>
      </c>
      <c r="P9" s="15">
        <f>IFERROR((INDEX('נתוני עזר'!$A$12:$A$15,MATCH('מבצע לחג'!E9,'נתוני עזר'!$B$12:$B$15,0))*G9),'נתוני עזר'!$A$17)</f>
        <v>0</v>
      </c>
      <c r="R9" s="15">
        <v>1</v>
      </c>
      <c r="S9" s="15">
        <f t="dataTable" ref="S9:V13" dt2D="1" dtr="1" r1="K43" r2="T2"/>
        <v>25552.1</v>
      </c>
      <c r="T9" s="15">
        <v>25436.2</v>
      </c>
      <c r="U9" s="15">
        <v>25320.3</v>
      </c>
      <c r="V9" s="15">
        <v>25204.400000000001</v>
      </c>
      <c r="AA9" s="25"/>
      <c r="AB9" s="15">
        <f ca="1">INT(RAND()*($AB$7-$AB$8-1)+$AB$8)</f>
        <v>27</v>
      </c>
      <c r="AC9" s="16"/>
      <c r="AD9" s="26"/>
    </row>
    <row r="10" spans="1:30" x14ac:dyDescent="0.25">
      <c r="A10" s="15">
        <v>9</v>
      </c>
      <c r="B10" s="15">
        <v>4517</v>
      </c>
      <c r="C10" s="16" t="s">
        <v>33</v>
      </c>
      <c r="D10" s="17">
        <v>42868</v>
      </c>
      <c r="E10" s="15" t="s">
        <v>56</v>
      </c>
      <c r="F10" s="15">
        <v>11</v>
      </c>
      <c r="G10" s="15">
        <v>11</v>
      </c>
      <c r="H10" s="15">
        <v>1</v>
      </c>
      <c r="I10" s="15" t="s">
        <v>10</v>
      </c>
      <c r="J10" s="15" t="s">
        <v>11</v>
      </c>
      <c r="K10" s="18">
        <f>(VLOOKUP(E10,'נתוני עזר'!$B$2:$C$5,2,0)*G10+VLOOKUP(E10,'נתוני עזר'!$B$2:$C$5,2,0)*H10*'נתוני עזר'!$F$2)*'נתוני עזר'!$B$8</f>
        <v>32832</v>
      </c>
      <c r="L10" s="18">
        <f t="shared" si="0"/>
        <v>32832</v>
      </c>
      <c r="M10" s="15" t="str">
        <f>INDEX('נתוני עזר'!$A$2:$A$5,MATCH(E10,'נתוני עזר'!$B$2:$B$5,0))</f>
        <v>לא</v>
      </c>
      <c r="N10" s="15" t="str">
        <f>VLOOKUP('מבצע לחג'!E10,'נתוני עזר'!$B$12:$C$15,2,0)</f>
        <v>לא</v>
      </c>
      <c r="O10" s="17">
        <f t="shared" si="1"/>
        <v>42868</v>
      </c>
      <c r="P10" s="15">
        <f>IFERROR((INDEX('נתוני עזר'!$A$12:$A$15,MATCH('מבצע לחג'!E10,'נתוני עזר'!$B$12:$B$15,0))*G10),'נתוני עזר'!$A$17)</f>
        <v>0</v>
      </c>
      <c r="R10" s="15">
        <v>2</v>
      </c>
      <c r="S10" s="15">
        <v>25123.870588235295</v>
      </c>
      <c r="T10" s="15">
        <v>25001.152941176471</v>
      </c>
      <c r="U10" s="15">
        <v>24878.435294117644</v>
      </c>
      <c r="V10" s="15">
        <v>24755.717647058824</v>
      </c>
      <c r="AA10" s="25"/>
      <c r="AC10" s="16"/>
      <c r="AD10" s="26"/>
    </row>
    <row r="11" spans="1:30" x14ac:dyDescent="0.25">
      <c r="A11" s="15">
        <v>10</v>
      </c>
      <c r="B11" s="15">
        <v>4970</v>
      </c>
      <c r="C11" s="16" t="s">
        <v>29</v>
      </c>
      <c r="D11" s="17">
        <v>43051</v>
      </c>
      <c r="E11" s="15" t="s">
        <v>56</v>
      </c>
      <c r="F11" s="15">
        <v>7</v>
      </c>
      <c r="G11" s="15">
        <v>3</v>
      </c>
      <c r="H11" s="15">
        <v>5</v>
      </c>
      <c r="I11" s="15" t="s">
        <v>8</v>
      </c>
      <c r="J11" s="15" t="s">
        <v>9</v>
      </c>
      <c r="K11" s="18">
        <f>(VLOOKUP(E11,'נתוני עזר'!$B$2:$C$5,2,0)*G11+VLOOKUP(E11,'נתוני עזר'!$B$2:$C$5,2,0)*H11*'נתוני עזר'!$F$2)*'נתוני עזר'!$B$8</f>
        <v>14400</v>
      </c>
      <c r="L11" s="18">
        <f t="shared" si="0"/>
        <v>14400</v>
      </c>
      <c r="M11" s="15" t="str">
        <f>INDEX('נתוני עזר'!$A$2:$A$5,MATCH(E11,'נתוני עזר'!$B$2:$B$5,0))</f>
        <v>לא</v>
      </c>
      <c r="N11" s="15" t="str">
        <f>VLOOKUP('מבצע לחג'!E11,'נתוני עזר'!$B$12:$C$15,2,0)</f>
        <v>לא</v>
      </c>
      <c r="O11" s="17">
        <f t="shared" si="1"/>
        <v>43081</v>
      </c>
      <c r="P11" s="15">
        <f>IFERROR((INDEX('נתוני עזר'!$A$12:$A$15,MATCH('מבצע לחג'!E11,'נתוני עזר'!$B$12:$B$15,0))*G11),'נתוני עזר'!$A$17)</f>
        <v>0</v>
      </c>
      <c r="R11" s="15">
        <v>3</v>
      </c>
      <c r="S11" s="15">
        <v>23922.860869565218</v>
      </c>
      <c r="T11" s="15">
        <v>23832.156521739136</v>
      </c>
      <c r="U11" s="15">
        <v>23741.45217391304</v>
      </c>
      <c r="V11" s="15">
        <v>23650.747826086954</v>
      </c>
      <c r="AA11" s="25"/>
      <c r="AB11" s="35" t="s">
        <v>45</v>
      </c>
      <c r="AC11" s="36" t="s">
        <v>1</v>
      </c>
      <c r="AD11" s="26"/>
    </row>
    <row r="12" spans="1:30" x14ac:dyDescent="0.25">
      <c r="A12" s="15">
        <v>11</v>
      </c>
      <c r="B12" s="15">
        <v>4074</v>
      </c>
      <c r="C12" s="16" t="s">
        <v>41</v>
      </c>
      <c r="D12" s="17">
        <v>43452</v>
      </c>
      <c r="E12" s="15" t="s">
        <v>47</v>
      </c>
      <c r="F12" s="15">
        <v>12</v>
      </c>
      <c r="G12" s="15">
        <v>12</v>
      </c>
      <c r="H12" s="15">
        <v>3</v>
      </c>
      <c r="I12" s="15" t="s">
        <v>10</v>
      </c>
      <c r="J12" s="15" t="s">
        <v>9</v>
      </c>
      <c r="K12" s="18">
        <f>(VLOOKUP(E12,'נתוני עזר'!$B$2:$C$5,2,0)*G12+VLOOKUP(E12,'נתוני עזר'!$B$2:$C$5,2,0)*H12*'נתוני עזר'!$F$2)*'נתוני עזר'!$B$8</f>
        <v>45144</v>
      </c>
      <c r="L12" s="18">
        <f t="shared" si="0"/>
        <v>45144</v>
      </c>
      <c r="M12" s="15" t="str">
        <f>INDEX('נתוני עזר'!$A$2:$A$5,MATCH(E12,'נתוני עזר'!$B$2:$B$5,0))</f>
        <v>כן</v>
      </c>
      <c r="N12" s="15" t="str">
        <f>VLOOKUP('מבצע לחג'!E12,'נתוני עזר'!$B$12:$C$15,2,0)</f>
        <v>כן</v>
      </c>
      <c r="O12" s="17">
        <f t="shared" si="1"/>
        <v>43457</v>
      </c>
      <c r="P12" s="15">
        <f>IFERROR((INDEX('נתוני עזר'!$A$12:$A$15,MATCH('מבצע לחג'!E12,'נתוני עזר'!$B$12:$B$15,0))*G12),'נתוני עזר'!$A$17)</f>
        <v>2400</v>
      </c>
      <c r="R12" s="15">
        <v>4</v>
      </c>
      <c r="S12" s="15">
        <v>25738.2</v>
      </c>
      <c r="T12" s="15">
        <v>25628.400000000001</v>
      </c>
      <c r="U12" s="15">
        <v>25518.6</v>
      </c>
      <c r="V12" s="15">
        <v>25408.799999999999</v>
      </c>
      <c r="AA12" s="25"/>
      <c r="AB12" s="15" t="str">
        <f ca="1">VLOOKUP(AB9,$A$2:$E$32,3,0)</f>
        <v>רגב</v>
      </c>
      <c r="AC12" s="15" t="str">
        <f ca="1">VLOOKUP(AB9,$A$2:$E$32,5,0)</f>
        <v>פריז</v>
      </c>
      <c r="AD12" s="26"/>
    </row>
    <row r="13" spans="1:30" ht="14.4" thickBot="1" x14ac:dyDescent="0.3">
      <c r="A13" s="15">
        <v>12</v>
      </c>
      <c r="B13" s="15">
        <v>1926</v>
      </c>
      <c r="C13" s="16" t="s">
        <v>26</v>
      </c>
      <c r="D13" s="17">
        <v>42819</v>
      </c>
      <c r="E13" s="15" t="s">
        <v>56</v>
      </c>
      <c r="F13" s="15">
        <v>20</v>
      </c>
      <c r="G13" s="15">
        <v>6</v>
      </c>
      <c r="H13" s="15">
        <v>0</v>
      </c>
      <c r="I13" s="15" t="s">
        <v>8</v>
      </c>
      <c r="J13" s="15" t="s">
        <v>9</v>
      </c>
      <c r="K13" s="18">
        <f>(VLOOKUP(E13,'נתוני עזר'!$B$2:$C$5,2,0)*G13+VLOOKUP(E13,'נתוני עזר'!$B$2:$C$5,2,0)*H13*'נתוני עזר'!$F$2)*'נתוני עזר'!$B$8</f>
        <v>17280</v>
      </c>
      <c r="L13" s="18">
        <f t="shared" si="0"/>
        <v>15552</v>
      </c>
      <c r="M13" s="15" t="str">
        <f>INDEX('נתוני עזר'!$A$2:$A$5,MATCH(E13,'נתוני עזר'!$B$2:$B$5,0))</f>
        <v>לא</v>
      </c>
      <c r="N13" s="15" t="str">
        <f>VLOOKUP('מבצע לחג'!E13,'נתוני עזר'!$B$12:$C$15,2,0)</f>
        <v>לא</v>
      </c>
      <c r="O13" s="17">
        <f t="shared" si="1"/>
        <v>42850</v>
      </c>
      <c r="P13" s="15">
        <f>IFERROR((INDEX('נתוני עזר'!$A$12:$A$15,MATCH('מבצע לחג'!E13,'נתוני עזר'!$B$12:$B$15,0))*G13),'נתוני עזר'!$A$17)</f>
        <v>0</v>
      </c>
      <c r="R13" s="15">
        <v>5</v>
      </c>
      <c r="S13" s="15">
        <v>24373.989473684211</v>
      </c>
      <c r="T13" s="15">
        <v>24264.189473684211</v>
      </c>
      <c r="U13" s="15">
        <v>24154.389473684208</v>
      </c>
      <c r="V13" s="15">
        <v>24044.589473684213</v>
      </c>
      <c r="AA13" s="27"/>
      <c r="AB13" s="28"/>
      <c r="AC13" s="29"/>
      <c r="AD13" s="30"/>
    </row>
    <row r="14" spans="1:30" x14ac:dyDescent="0.25">
      <c r="A14" s="15">
        <v>13</v>
      </c>
      <c r="B14" s="15">
        <v>2018</v>
      </c>
      <c r="C14" s="16" t="s">
        <v>38</v>
      </c>
      <c r="D14" s="17">
        <v>43147</v>
      </c>
      <c r="E14" s="15" t="s">
        <v>14</v>
      </c>
      <c r="F14" s="15">
        <v>16</v>
      </c>
      <c r="G14" s="15">
        <v>7</v>
      </c>
      <c r="H14" s="15">
        <v>4</v>
      </c>
      <c r="I14" s="15" t="s">
        <v>8</v>
      </c>
      <c r="J14" s="15" t="s">
        <v>12</v>
      </c>
      <c r="K14" s="18">
        <f>(VLOOKUP(E14,'נתוני עזר'!$B$2:$C$5,2,0)*G14+VLOOKUP(E14,'נתוני עזר'!$B$2:$C$5,2,0)*H14*'נתוני עזר'!$F$2)*'נתוני עזר'!$B$8</f>
        <v>30960</v>
      </c>
      <c r="L14" s="18">
        <f t="shared" si="0"/>
        <v>30960</v>
      </c>
      <c r="M14" s="15" t="str">
        <f>INDEX('נתוני עזר'!$A$2:$A$5,MATCH(E14,'נתוני עזר'!$B$2:$B$5,0))</f>
        <v>לא</v>
      </c>
      <c r="N14" s="15" t="str">
        <f>VLOOKUP('מבצע לחג'!E14,'נתוני עזר'!$B$12:$C$15,2,0)</f>
        <v>לא</v>
      </c>
      <c r="O14" s="17">
        <f t="shared" si="1"/>
        <v>43175</v>
      </c>
      <c r="P14" s="15">
        <f>IFERROR((INDEX('נתוני עזר'!$A$12:$A$15,MATCH('מבצע לחג'!E14,'נתוני עזר'!$B$12:$B$15,0))*G14),'נתוני עזר'!$A$17)</f>
        <v>0</v>
      </c>
      <c r="AC14" s="16"/>
    </row>
    <row r="15" spans="1:30" x14ac:dyDescent="0.25">
      <c r="A15" s="15">
        <v>14</v>
      </c>
      <c r="B15" s="15">
        <v>8150</v>
      </c>
      <c r="C15" s="16" t="s">
        <v>16</v>
      </c>
      <c r="D15" s="17">
        <v>42809</v>
      </c>
      <c r="E15" s="15" t="s">
        <v>14</v>
      </c>
      <c r="F15" s="15">
        <v>8</v>
      </c>
      <c r="G15" s="15">
        <v>7</v>
      </c>
      <c r="H15" s="15">
        <v>5</v>
      </c>
      <c r="I15" s="15" t="s">
        <v>8</v>
      </c>
      <c r="J15" s="15" t="s">
        <v>9</v>
      </c>
      <c r="K15" s="18">
        <f>(VLOOKUP(E15,'נתוני עזר'!$B$2:$C$5,2,0)*G15+VLOOKUP(E15,'נתוני עזר'!$B$2:$C$5,2,0)*H15*'נתוני עזר'!$F$2)*'נתוני עזר'!$B$8</f>
        <v>32400</v>
      </c>
      <c r="L15" s="18">
        <f t="shared" si="0"/>
        <v>32400</v>
      </c>
      <c r="M15" s="15" t="str">
        <f>INDEX('נתוני עזר'!$A$2:$A$5,MATCH(E15,'נתוני עזר'!$B$2:$B$5,0))</f>
        <v>לא</v>
      </c>
      <c r="N15" s="15" t="str">
        <f>VLOOKUP('מבצע לחג'!E15,'נתוני עזר'!$B$12:$C$15,2,0)</f>
        <v>לא</v>
      </c>
      <c r="O15" s="17">
        <f t="shared" si="1"/>
        <v>42840</v>
      </c>
      <c r="P15" s="15">
        <f>IFERROR((INDEX('נתוני עזר'!$A$12:$A$15,MATCH('מבצע לחג'!E15,'נתוני עזר'!$B$12:$B$15,0))*G15),'נתוני עזר'!$A$17)</f>
        <v>0</v>
      </c>
      <c r="AC15" s="16"/>
    </row>
    <row r="16" spans="1:30" x14ac:dyDescent="0.25">
      <c r="A16" s="15">
        <v>15</v>
      </c>
      <c r="B16" s="15">
        <v>1929</v>
      </c>
      <c r="C16" s="16" t="s">
        <v>42</v>
      </c>
      <c r="D16" s="17">
        <v>42874</v>
      </c>
      <c r="E16" s="15" t="s">
        <v>56</v>
      </c>
      <c r="F16" s="15">
        <v>18</v>
      </c>
      <c r="G16" s="15">
        <v>10</v>
      </c>
      <c r="H16" s="15">
        <v>0</v>
      </c>
      <c r="I16" s="15" t="s">
        <v>8</v>
      </c>
      <c r="J16" s="15" t="s">
        <v>11</v>
      </c>
      <c r="K16" s="18">
        <f>(VLOOKUP(E16,'נתוני עזר'!$B$2:$C$5,2,0)*G16+VLOOKUP(E16,'נתוני עזר'!$B$2:$C$5,2,0)*H16*'נתוני עזר'!$F$2)*'נתוני עזר'!$B$8</f>
        <v>28800</v>
      </c>
      <c r="L16" s="18">
        <f t="shared" si="0"/>
        <v>28800</v>
      </c>
      <c r="M16" s="15" t="str">
        <f>INDEX('נתוני עזר'!$A$2:$A$5,MATCH(E16,'נתוני עזר'!$B$2:$B$5,0))</f>
        <v>לא</v>
      </c>
      <c r="N16" s="15" t="str">
        <f>VLOOKUP('מבצע לחג'!E16,'נתוני עזר'!$B$12:$C$15,2,0)</f>
        <v>לא</v>
      </c>
      <c r="O16" s="17">
        <f t="shared" si="1"/>
        <v>42905</v>
      </c>
      <c r="P16" s="15">
        <f>IFERROR((INDEX('נתוני עזר'!$A$12:$A$15,MATCH('מבצע לחג'!E16,'נתוני עזר'!$B$12:$B$15,0))*G16),'נתוני עזר'!$A$17)</f>
        <v>0</v>
      </c>
      <c r="AC16" s="16"/>
    </row>
    <row r="17" spans="1:29" x14ac:dyDescent="0.25">
      <c r="A17" s="15">
        <v>16</v>
      </c>
      <c r="B17" s="15">
        <v>7754</v>
      </c>
      <c r="C17" s="16" t="s">
        <v>34</v>
      </c>
      <c r="D17" s="17">
        <v>43246</v>
      </c>
      <c r="E17" s="15" t="s">
        <v>14</v>
      </c>
      <c r="F17" s="15">
        <v>28</v>
      </c>
      <c r="G17" s="15">
        <v>7</v>
      </c>
      <c r="H17" s="15">
        <v>4</v>
      </c>
      <c r="I17" s="15" t="s">
        <v>8</v>
      </c>
      <c r="J17" s="15" t="s">
        <v>12</v>
      </c>
      <c r="K17" s="18">
        <f>(VLOOKUP(E17,'נתוני עזר'!$B$2:$C$5,2,0)*G17+VLOOKUP(E17,'נתוני עזר'!$B$2:$C$5,2,0)*H17*'נתוני עזר'!$F$2)*'נתוני עזר'!$B$8</f>
        <v>30960</v>
      </c>
      <c r="L17" s="18">
        <f t="shared" si="0"/>
        <v>30960</v>
      </c>
      <c r="M17" s="15" t="str">
        <f>INDEX('נתוני עזר'!$A$2:$A$5,MATCH(E17,'נתוני עזר'!$B$2:$B$5,0))</f>
        <v>לא</v>
      </c>
      <c r="N17" s="15" t="str">
        <f>VLOOKUP('מבצע לחג'!E17,'נתוני עזר'!$B$12:$C$15,2,0)</f>
        <v>לא</v>
      </c>
      <c r="O17" s="17">
        <f t="shared" si="1"/>
        <v>43277</v>
      </c>
      <c r="P17" s="15">
        <f>IFERROR((INDEX('נתוני עזר'!$A$12:$A$15,MATCH('מבצע לחג'!E17,'נתוני עזר'!$B$12:$B$15,0))*G17),'נתוני עזר'!$A$17)</f>
        <v>0</v>
      </c>
      <c r="AC17" s="16"/>
    </row>
    <row r="18" spans="1:29" x14ac:dyDescent="0.25">
      <c r="A18" s="15">
        <v>17</v>
      </c>
      <c r="B18" s="15">
        <v>8437</v>
      </c>
      <c r="C18" s="16" t="s">
        <v>25</v>
      </c>
      <c r="D18" s="17">
        <v>43118</v>
      </c>
      <c r="E18" s="15" t="s">
        <v>56</v>
      </c>
      <c r="F18" s="15">
        <v>24</v>
      </c>
      <c r="G18" s="15">
        <v>9</v>
      </c>
      <c r="H18" s="15">
        <v>3</v>
      </c>
      <c r="I18" s="15" t="s">
        <v>10</v>
      </c>
      <c r="J18" s="15" t="s">
        <v>11</v>
      </c>
      <c r="K18" s="18">
        <f>(VLOOKUP(E18,'נתוני עזר'!$B$2:$C$5,2,0)*G18+VLOOKUP(E18,'נתוני עזר'!$B$2:$C$5,2,0)*H18*'נתוני עזר'!$F$2)*'נתוני עזר'!$B$8</f>
        <v>29376</v>
      </c>
      <c r="L18" s="18">
        <f t="shared" si="0"/>
        <v>29376</v>
      </c>
      <c r="M18" s="15" t="str">
        <f>INDEX('נתוני עזר'!$A$2:$A$5,MATCH(E18,'נתוני עזר'!$B$2:$B$5,0))</f>
        <v>לא</v>
      </c>
      <c r="N18" s="15" t="str">
        <f>VLOOKUP('מבצע לחג'!E18,'נתוני עזר'!$B$12:$C$15,2,0)</f>
        <v>לא</v>
      </c>
      <c r="O18" s="17">
        <f t="shared" si="1"/>
        <v>43118</v>
      </c>
      <c r="P18" s="15">
        <f>IFERROR((INDEX('נתוני עזר'!$A$12:$A$15,MATCH('מבצע לחג'!E18,'נתוני עזר'!$B$12:$B$15,0))*G18),'נתוני עזר'!$A$17)</f>
        <v>0</v>
      </c>
      <c r="Q18" s="15" t="s">
        <v>8</v>
      </c>
      <c r="AC18" s="16"/>
    </row>
    <row r="19" spans="1:29" x14ac:dyDescent="0.25">
      <c r="A19" s="15">
        <v>18</v>
      </c>
      <c r="B19" s="15">
        <v>2526</v>
      </c>
      <c r="C19" s="16" t="s">
        <v>43</v>
      </c>
      <c r="D19" s="17">
        <v>42947</v>
      </c>
      <c r="E19" s="15" t="s">
        <v>56</v>
      </c>
      <c r="F19" s="15">
        <v>14</v>
      </c>
      <c r="G19" s="15">
        <v>10</v>
      </c>
      <c r="H19" s="15">
        <v>0</v>
      </c>
      <c r="I19" s="15" t="s">
        <v>10</v>
      </c>
      <c r="J19" s="15" t="s">
        <v>9</v>
      </c>
      <c r="K19" s="18">
        <f>(VLOOKUP(E19,'נתוני עזר'!$B$2:$C$5,2,0)*G19+VLOOKUP(E19,'נתוני עזר'!$B$2:$C$5,2,0)*H19*'נתוני עזר'!$F$2)*'נתוני עזר'!$B$8</f>
        <v>28800</v>
      </c>
      <c r="L19" s="18">
        <f t="shared" si="0"/>
        <v>28800</v>
      </c>
      <c r="M19" s="15" t="str">
        <f>INDEX('נתוני עזר'!$A$2:$A$5,MATCH(E19,'נתוני עזר'!$B$2:$B$5,0))</f>
        <v>לא</v>
      </c>
      <c r="N19" s="15" t="str">
        <f>VLOOKUP('מבצע לחג'!E19,'נתוני עזר'!$B$12:$C$15,2,0)</f>
        <v>לא</v>
      </c>
      <c r="O19" s="17">
        <f t="shared" si="1"/>
        <v>42947</v>
      </c>
      <c r="P19" s="15">
        <f>IFERROR((INDEX('נתוני עזר'!$A$12:$A$15,MATCH('מבצע לחג'!E19,'נתוני עזר'!$B$12:$B$15,0))*G19),'נתוני עזר'!$A$17)</f>
        <v>0</v>
      </c>
      <c r="Q19" s="15">
        <v>1</v>
      </c>
      <c r="R19" s="34" t="s">
        <v>75</v>
      </c>
    </row>
    <row r="20" spans="1:29" x14ac:dyDescent="0.25">
      <c r="A20" s="15">
        <v>19</v>
      </c>
      <c r="B20" s="15">
        <v>4433</v>
      </c>
      <c r="C20" s="16" t="s">
        <v>35</v>
      </c>
      <c r="D20" s="17">
        <v>43147</v>
      </c>
      <c r="E20" s="15" t="s">
        <v>47</v>
      </c>
      <c r="F20" s="15">
        <v>14</v>
      </c>
      <c r="G20" s="15">
        <v>3</v>
      </c>
      <c r="H20" s="15">
        <v>3</v>
      </c>
      <c r="I20" s="15" t="s">
        <v>8</v>
      </c>
      <c r="J20" s="15" t="s">
        <v>12</v>
      </c>
      <c r="K20" s="18">
        <f>(VLOOKUP(E20,'נתוני עזר'!$B$2:$C$5,2,0)*G20+VLOOKUP(E20,'נתוני עזר'!$B$2:$C$5,2,0)*H20*'נתוני עזר'!$F$2)*'נתוני עזר'!$B$8</f>
        <v>14364</v>
      </c>
      <c r="L20" s="18">
        <f t="shared" si="0"/>
        <v>14364</v>
      </c>
      <c r="M20" s="15" t="str">
        <f>INDEX('נתוני עזר'!$A$2:$A$5,MATCH(E20,'נתוני עזר'!$B$2:$B$5,0))</f>
        <v>כן</v>
      </c>
      <c r="N20" s="15" t="str">
        <f>VLOOKUP('מבצע לחג'!E20,'נתוני עזר'!$B$12:$C$15,2,0)</f>
        <v>כן</v>
      </c>
      <c r="O20" s="17">
        <f t="shared" si="1"/>
        <v>43175</v>
      </c>
      <c r="P20" s="15">
        <f>IFERROR((INDEX('נתוני עזר'!$A$12:$A$15,MATCH('מבצע לחג'!E20,'נתוני עזר'!$B$12:$B$15,0))*G20),'נתוני עזר'!$A$17)</f>
        <v>600</v>
      </c>
      <c r="Q20" s="15" t="s">
        <v>10</v>
      </c>
      <c r="R20" s="15">
        <v>2</v>
      </c>
      <c r="S20" s="15">
        <f t="array" ref="S20:S23">FREQUENCY(G2:G32,R20:R22)</f>
        <v>6</v>
      </c>
    </row>
    <row r="21" spans="1:29" x14ac:dyDescent="0.25">
      <c r="A21" s="15">
        <v>20</v>
      </c>
      <c r="B21" s="15">
        <v>8460</v>
      </c>
      <c r="C21" s="16" t="s">
        <v>46</v>
      </c>
      <c r="D21" s="17">
        <v>43247</v>
      </c>
      <c r="E21" s="15" t="s">
        <v>14</v>
      </c>
      <c r="F21" s="15">
        <v>20</v>
      </c>
      <c r="G21" s="15">
        <v>2</v>
      </c>
      <c r="H21" s="15">
        <v>5</v>
      </c>
      <c r="I21" s="15" t="s">
        <v>8</v>
      </c>
      <c r="J21" s="15" t="s">
        <v>11</v>
      </c>
      <c r="K21" s="18">
        <f>(VLOOKUP(E21,'נתוני עזר'!$B$2:$C$5,2,0)*G21+VLOOKUP(E21,'נתוני עזר'!$B$2:$C$5,2,0)*H21*'נתוני עזר'!$F$2)*'נתוני עזר'!$B$8</f>
        <v>14400</v>
      </c>
      <c r="L21" s="18">
        <f t="shared" si="0"/>
        <v>14400</v>
      </c>
      <c r="M21" s="15" t="str">
        <f>INDEX('נתוני עזר'!$A$2:$A$5,MATCH(E21,'נתוני עזר'!$B$2:$B$5,0))</f>
        <v>לא</v>
      </c>
      <c r="N21" s="15" t="str">
        <f>VLOOKUP('מבצע לחג'!E21,'נתוני עזר'!$B$12:$C$15,2,0)</f>
        <v>לא</v>
      </c>
      <c r="O21" s="17">
        <f t="shared" si="1"/>
        <v>43278</v>
      </c>
      <c r="P21" s="15">
        <f>IFERROR((INDEX('נתוני עזר'!$A$12:$A$15,MATCH('מבצע לחג'!E21,'נתוני עזר'!$B$12:$B$15,0))*G21),'נתוני עזר'!$A$17)</f>
        <v>0</v>
      </c>
      <c r="Q21" s="15" t="s">
        <v>8</v>
      </c>
      <c r="R21" s="15">
        <v>4</v>
      </c>
      <c r="S21" s="15">
        <v>4</v>
      </c>
    </row>
    <row r="22" spans="1:29" x14ac:dyDescent="0.25">
      <c r="A22" s="15">
        <v>21</v>
      </c>
      <c r="B22" s="15">
        <v>8606</v>
      </c>
      <c r="C22" s="16" t="s">
        <v>31</v>
      </c>
      <c r="D22" s="17">
        <v>42785</v>
      </c>
      <c r="E22" s="15" t="s">
        <v>13</v>
      </c>
      <c r="F22" s="15">
        <v>34</v>
      </c>
      <c r="G22" s="15">
        <v>3</v>
      </c>
      <c r="H22" s="15">
        <v>4</v>
      </c>
      <c r="I22" s="15" t="s">
        <v>10</v>
      </c>
      <c r="J22" s="15" t="s">
        <v>9</v>
      </c>
      <c r="K22" s="18">
        <f>(VLOOKUP(E22,'נתוני עזר'!$B$2:$C$5,2,0)*G22+VLOOKUP(E22,'נתוני עזר'!$B$2:$C$5,2,0)*H22*'נתוני עזר'!$F$2)*'נתוני עזר'!$B$8</f>
        <v>14076</v>
      </c>
      <c r="L22" s="18">
        <f t="shared" si="0"/>
        <v>12668.4</v>
      </c>
      <c r="M22" s="15" t="str">
        <f>INDEX('נתוני עזר'!$A$2:$A$5,MATCH(E22,'נתוני עזר'!$B$2:$B$5,0))</f>
        <v>לא</v>
      </c>
      <c r="N22" s="15" t="str">
        <f>VLOOKUP('מבצע לחג'!E22,'נתוני עזר'!$B$12:$C$15,2,0)</f>
        <v>לא</v>
      </c>
      <c r="O22" s="17">
        <f t="shared" si="1"/>
        <v>42785</v>
      </c>
      <c r="P22" s="15">
        <f>IFERROR((INDEX('נתוני עזר'!$A$12:$A$15,MATCH('מבצע לחג'!E22,'נתוני עזר'!$B$12:$B$15,0))*G22),'נתוני עזר'!$A$17)</f>
        <v>0</v>
      </c>
      <c r="R22" s="15">
        <v>7</v>
      </c>
      <c r="S22" s="15">
        <v>8</v>
      </c>
    </row>
    <row r="23" spans="1:29" x14ac:dyDescent="0.25">
      <c r="A23" s="15">
        <v>22</v>
      </c>
      <c r="B23" s="15">
        <v>8500</v>
      </c>
      <c r="C23" s="16" t="s">
        <v>44</v>
      </c>
      <c r="D23" s="17">
        <v>43010</v>
      </c>
      <c r="E23" s="15" t="s">
        <v>47</v>
      </c>
      <c r="F23" s="15">
        <v>28</v>
      </c>
      <c r="G23" s="15">
        <v>9</v>
      </c>
      <c r="H23" s="15">
        <v>5</v>
      </c>
      <c r="I23" s="15" t="s">
        <v>10</v>
      </c>
      <c r="J23" s="15" t="s">
        <v>9</v>
      </c>
      <c r="K23" s="18">
        <f>(VLOOKUP(E23,'נתוני עזר'!$B$2:$C$5,2,0)*G23+VLOOKUP(E23,'נתוני עזר'!$B$2:$C$5,2,0)*H23*'נתוני עזר'!$F$2)*'נתוני עזר'!$B$8</f>
        <v>37620</v>
      </c>
      <c r="L23" s="18">
        <f t="shared" si="0"/>
        <v>37620</v>
      </c>
      <c r="M23" s="15" t="str">
        <f>INDEX('נתוני עזר'!$A$2:$A$5,MATCH(E23,'נתוני עזר'!$B$2:$B$5,0))</f>
        <v>כן</v>
      </c>
      <c r="N23" s="15" t="str">
        <f>VLOOKUP('מבצע לחג'!E23,'נתוני עזר'!$B$12:$C$15,2,0)</f>
        <v>כן</v>
      </c>
      <c r="O23" s="17">
        <f t="shared" si="1"/>
        <v>43015</v>
      </c>
      <c r="P23" s="15">
        <f>IFERROR((INDEX('נתוני עזר'!$A$12:$A$15,MATCH('מבצע לחג'!E23,'נתוני עזר'!$B$12:$B$15,0))*G23),'נתוני עזר'!$A$17)</f>
        <v>1800</v>
      </c>
      <c r="Q23" s="15">
        <v>5</v>
      </c>
      <c r="S23" s="15">
        <v>13</v>
      </c>
    </row>
    <row r="24" spans="1:29" x14ac:dyDescent="0.25">
      <c r="A24" s="15">
        <v>23</v>
      </c>
      <c r="B24" s="15">
        <v>2461</v>
      </c>
      <c r="C24" s="16" t="s">
        <v>24</v>
      </c>
      <c r="D24" s="17">
        <v>42857</v>
      </c>
      <c r="E24" s="15" t="s">
        <v>56</v>
      </c>
      <c r="F24" s="15">
        <v>6</v>
      </c>
      <c r="G24" s="15">
        <v>8</v>
      </c>
      <c r="H24" s="15">
        <v>0</v>
      </c>
      <c r="I24" s="15" t="s">
        <v>10</v>
      </c>
      <c r="J24" s="15" t="s">
        <v>9</v>
      </c>
      <c r="K24" s="18">
        <f>(VLOOKUP(E24,'נתוני עזר'!$B$2:$C$5,2,0)*G24+VLOOKUP(E24,'נתוני עזר'!$B$2:$C$5,2,0)*H24*'נתוני עזר'!$F$2)*'נתוני עזר'!$B$8</f>
        <v>23040</v>
      </c>
      <c r="L24" s="18">
        <f t="shared" si="0"/>
        <v>23040</v>
      </c>
      <c r="M24" s="15" t="str">
        <f>INDEX('נתוני עזר'!$A$2:$A$5,MATCH(E24,'נתוני עזר'!$B$2:$B$5,0))</f>
        <v>לא</v>
      </c>
      <c r="N24" s="15" t="str">
        <f>VLOOKUP('מבצע לחג'!E24,'נתוני עזר'!$B$12:$C$15,2,0)</f>
        <v>לא</v>
      </c>
      <c r="O24" s="17">
        <f t="shared" si="1"/>
        <v>42857</v>
      </c>
      <c r="P24" s="15">
        <f>IFERROR((INDEX('נתוני עזר'!$A$12:$A$15,MATCH('מבצע לחג'!E24,'נתוני עזר'!$B$12:$B$15,0))*G24),'נתוני עזר'!$A$17)</f>
        <v>0</v>
      </c>
    </row>
    <row r="25" spans="1:29" x14ac:dyDescent="0.25">
      <c r="A25" s="15">
        <v>24</v>
      </c>
      <c r="B25" s="15">
        <v>4120</v>
      </c>
      <c r="C25" s="16" t="s">
        <v>23</v>
      </c>
      <c r="D25" s="17">
        <v>43311</v>
      </c>
      <c r="E25" s="15" t="s">
        <v>14</v>
      </c>
      <c r="F25" s="15">
        <v>6</v>
      </c>
      <c r="G25" s="15">
        <v>4</v>
      </c>
      <c r="H25" s="15">
        <v>5</v>
      </c>
      <c r="I25" s="15" t="s">
        <v>10</v>
      </c>
      <c r="J25" s="15" t="s">
        <v>11</v>
      </c>
      <c r="K25" s="18">
        <f>(VLOOKUP(E25,'נתוני עזר'!$B$2:$C$5,2,0)*G25+VLOOKUP(E25,'נתוני עזר'!$B$2:$C$5,2,0)*H25*'נתוני עזר'!$F$2)*'נתוני עזר'!$B$8</f>
        <v>21600</v>
      </c>
      <c r="L25" s="18">
        <f t="shared" si="0"/>
        <v>21600</v>
      </c>
      <c r="M25" s="15" t="str">
        <f>INDEX('נתוני עזר'!$A$2:$A$5,MATCH(E25,'נתוני עזר'!$B$2:$B$5,0))</f>
        <v>לא</v>
      </c>
      <c r="N25" s="15" t="str">
        <f>VLOOKUP('מבצע לחג'!E25,'נתוני עזר'!$B$12:$C$15,2,0)</f>
        <v>לא</v>
      </c>
      <c r="O25" s="17">
        <f t="shared" si="1"/>
        <v>43311</v>
      </c>
      <c r="P25" s="15">
        <f>IFERROR((INDEX('נתוני עזר'!$A$12:$A$15,MATCH('מבצע לחג'!E25,'נתוני עזר'!$B$12:$B$15,0))*G25),'נתוני עזר'!$A$17)</f>
        <v>0</v>
      </c>
    </row>
    <row r="26" spans="1:29" x14ac:dyDescent="0.25">
      <c r="A26" s="15">
        <v>25</v>
      </c>
      <c r="B26" s="15">
        <v>7005</v>
      </c>
      <c r="C26" s="16" t="s">
        <v>19</v>
      </c>
      <c r="D26" s="17">
        <v>42822</v>
      </c>
      <c r="E26" s="15" t="s">
        <v>14</v>
      </c>
      <c r="F26" s="15">
        <v>32</v>
      </c>
      <c r="G26" s="15">
        <v>2</v>
      </c>
      <c r="H26" s="15">
        <v>0</v>
      </c>
      <c r="I26" s="15" t="s">
        <v>10</v>
      </c>
      <c r="J26" s="15" t="s">
        <v>9</v>
      </c>
      <c r="K26" s="18">
        <f>(VLOOKUP(E26,'נתוני עזר'!$B$2:$C$5,2,0)*G26+VLOOKUP(E26,'נתוני עזר'!$B$2:$C$5,2,0)*H26*'נתוני עזר'!$F$2)*'נתוני עזר'!$B$8</f>
        <v>7200</v>
      </c>
      <c r="L26" s="18">
        <f t="shared" si="0"/>
        <v>7200</v>
      </c>
      <c r="M26" s="15" t="str">
        <f>INDEX('נתוני עזר'!$A$2:$A$5,MATCH(E26,'נתוני עזר'!$B$2:$B$5,0))</f>
        <v>לא</v>
      </c>
      <c r="N26" s="15" t="str">
        <f>VLOOKUP('מבצע לחג'!E26,'נתוני עזר'!$B$12:$C$15,2,0)</f>
        <v>לא</v>
      </c>
      <c r="O26" s="17">
        <f t="shared" si="1"/>
        <v>42822</v>
      </c>
      <c r="P26" s="15">
        <f>IFERROR((INDEX('נתוני עזר'!$A$12:$A$15,MATCH('מבצע לחג'!E26,'נתוני עזר'!$B$12:$B$15,0))*G26),'נתוני עזר'!$A$17)</f>
        <v>0</v>
      </c>
      <c r="R26" s="34" t="s">
        <v>76</v>
      </c>
    </row>
    <row r="27" spans="1:29" x14ac:dyDescent="0.25">
      <c r="A27" s="15">
        <v>26</v>
      </c>
      <c r="B27" s="15">
        <v>3534</v>
      </c>
      <c r="C27" s="16" t="s">
        <v>30</v>
      </c>
      <c r="D27" s="17">
        <v>43106</v>
      </c>
      <c r="E27" s="15" t="s">
        <v>47</v>
      </c>
      <c r="F27" s="15">
        <v>4</v>
      </c>
      <c r="G27" s="15">
        <v>5</v>
      </c>
      <c r="H27" s="15">
        <v>5</v>
      </c>
      <c r="I27" s="15" t="s">
        <v>8</v>
      </c>
      <c r="J27" s="15" t="s">
        <v>9</v>
      </c>
      <c r="K27" s="18">
        <f>(VLOOKUP(E27,'נתוני עזר'!$B$2:$C$5,2,0)*G27+VLOOKUP(E27,'נתוני עזר'!$B$2:$C$5,2,0)*H27*'נתוני עזר'!$F$2)*'נתוני עזר'!$B$8</f>
        <v>23940</v>
      </c>
      <c r="L27" s="18">
        <f t="shared" si="0"/>
        <v>23940</v>
      </c>
      <c r="M27" s="15" t="str">
        <f>INDEX('נתוני עזר'!$A$2:$A$5,MATCH(E27,'נתוני עזר'!$B$2:$B$5,0))</f>
        <v>כן</v>
      </c>
      <c r="N27" s="15" t="str">
        <f>VLOOKUP('מבצע לחג'!E27,'נתוני עזר'!$B$12:$C$15,2,0)</f>
        <v>כן</v>
      </c>
      <c r="O27" s="17">
        <f t="shared" si="1"/>
        <v>43137</v>
      </c>
      <c r="P27" s="15">
        <f>IFERROR((INDEX('נתוני עזר'!$A$12:$A$15,MATCH('מבצע לחג'!E27,'נתוני עזר'!$B$12:$B$15,0))*G27),'נתוני עזר'!$A$17)</f>
        <v>1000</v>
      </c>
      <c r="R27" s="15">
        <f>SUM(S20:S23)</f>
        <v>31</v>
      </c>
    </row>
    <row r="28" spans="1:29" x14ac:dyDescent="0.25">
      <c r="A28" s="15">
        <v>27</v>
      </c>
      <c r="B28" s="15">
        <v>7806</v>
      </c>
      <c r="C28" s="16" t="s">
        <v>37</v>
      </c>
      <c r="D28" s="17">
        <v>43274</v>
      </c>
      <c r="E28" s="15" t="s">
        <v>56</v>
      </c>
      <c r="F28" s="15">
        <v>26</v>
      </c>
      <c r="G28" s="15">
        <v>9</v>
      </c>
      <c r="H28" s="15">
        <v>3</v>
      </c>
      <c r="I28" s="15" t="s">
        <v>10</v>
      </c>
      <c r="J28" s="15" t="s">
        <v>9</v>
      </c>
      <c r="K28" s="18">
        <f>(VLOOKUP(E28,'נתוני עזר'!$B$2:$C$5,2,0)*G28+VLOOKUP(E28,'נתוני עזר'!$B$2:$C$5,2,0)*H28*'נתוני עזר'!$F$2)*'נתוני עזר'!$B$8</f>
        <v>29376</v>
      </c>
      <c r="L28" s="18">
        <f t="shared" si="0"/>
        <v>29376</v>
      </c>
      <c r="M28" s="15" t="str">
        <f>INDEX('נתוני עזר'!$A$2:$A$5,MATCH(E28,'נתוני עזר'!$B$2:$B$5,0))</f>
        <v>לא</v>
      </c>
      <c r="N28" s="15" t="str">
        <f>VLOOKUP('מבצע לחג'!E28,'נתוני עזר'!$B$12:$C$15,2,0)</f>
        <v>לא</v>
      </c>
      <c r="O28" s="17">
        <f t="shared" si="1"/>
        <v>43274</v>
      </c>
      <c r="P28" s="15">
        <f>IFERROR((INDEX('נתוני עזר'!$A$12:$A$15,MATCH('מבצע לחג'!E28,'נתוני עזר'!$B$12:$B$15,0))*G28),'נתוני עזר'!$A$17)</f>
        <v>0</v>
      </c>
      <c r="R28" s="15">
        <f>SUM(S22:S23)</f>
        <v>21</v>
      </c>
    </row>
    <row r="29" spans="1:29" x14ac:dyDescent="0.25">
      <c r="A29" s="15">
        <v>28</v>
      </c>
      <c r="B29" s="15">
        <v>2488</v>
      </c>
      <c r="C29" s="16" t="s">
        <v>40</v>
      </c>
      <c r="D29" s="17">
        <v>43105</v>
      </c>
      <c r="E29" s="15" t="s">
        <v>47</v>
      </c>
      <c r="F29" s="15">
        <v>14</v>
      </c>
      <c r="G29" s="15">
        <v>7</v>
      </c>
      <c r="H29" s="15">
        <v>0</v>
      </c>
      <c r="I29" s="15" t="s">
        <v>8</v>
      </c>
      <c r="J29" s="15" t="s">
        <v>11</v>
      </c>
      <c r="K29" s="18">
        <f>(VLOOKUP(E29,'נתוני עזר'!$B$2:$C$5,2,0)*G29+VLOOKUP(E29,'נתוני עזר'!$B$2:$C$5,2,0)*H29*'נתוני עזר'!$F$2)*'נתוני עזר'!$B$8</f>
        <v>23940</v>
      </c>
      <c r="L29" s="18">
        <f t="shared" si="0"/>
        <v>23940</v>
      </c>
      <c r="M29" s="15" t="str">
        <f>INDEX('נתוני עזר'!$A$2:$A$5,MATCH(E29,'נתוני עזר'!$B$2:$B$5,0))</f>
        <v>כן</v>
      </c>
      <c r="N29" s="15" t="str">
        <f>VLOOKUP('מבצע לחג'!E29,'נתוני עזר'!$B$12:$C$15,2,0)</f>
        <v>כן</v>
      </c>
      <c r="O29" s="17">
        <f t="shared" si="1"/>
        <v>43136</v>
      </c>
      <c r="P29" s="15">
        <f>IFERROR((INDEX('נתוני עזר'!$A$12:$A$15,MATCH('מבצע לחג'!E29,'נתוני עזר'!$B$12:$B$15,0))*G29),'נתוני עזר'!$A$17)</f>
        <v>1400</v>
      </c>
      <c r="R29" s="20">
        <f>R28/R27</f>
        <v>0.67741935483870963</v>
      </c>
    </row>
    <row r="30" spans="1:29" x14ac:dyDescent="0.25">
      <c r="A30" s="15">
        <v>29</v>
      </c>
      <c r="B30" s="15">
        <v>9238</v>
      </c>
      <c r="C30" s="16" t="s">
        <v>27</v>
      </c>
      <c r="D30" s="17">
        <v>43236</v>
      </c>
      <c r="E30" s="15" t="s">
        <v>56</v>
      </c>
      <c r="F30" s="15">
        <v>5</v>
      </c>
      <c r="G30" s="15">
        <v>10</v>
      </c>
      <c r="H30" s="15">
        <v>3</v>
      </c>
      <c r="I30" s="15" t="s">
        <v>8</v>
      </c>
      <c r="J30" s="15" t="s">
        <v>9</v>
      </c>
      <c r="K30" s="18">
        <f>(VLOOKUP(E30,'נתוני עזר'!$B$2:$C$5,2,0)*G30+VLOOKUP(E30,'נתוני עזר'!$B$2:$C$5,2,0)*H30*'נתוני עזר'!$F$2)*'נתוני עזר'!$B$8</f>
        <v>32256</v>
      </c>
      <c r="L30" s="18">
        <f t="shared" si="0"/>
        <v>32256</v>
      </c>
      <c r="M30" s="15" t="str">
        <f>INDEX('נתוני עזר'!$A$2:$A$5,MATCH(E30,'נתוני עזר'!$B$2:$B$5,0))</f>
        <v>לא</v>
      </c>
      <c r="N30" s="15" t="str">
        <f>VLOOKUP('מבצע לחג'!E30,'נתוני עזר'!$B$12:$C$15,2,0)</f>
        <v>לא</v>
      </c>
      <c r="O30" s="17">
        <f t="shared" si="1"/>
        <v>43267</v>
      </c>
      <c r="P30" s="15">
        <f>IFERROR((INDEX('נתוני עזר'!$A$12:$A$15,MATCH('מבצע לחג'!E30,'נתוני עזר'!$B$12:$B$15,0))*G30),'נתוני עזר'!$A$17)</f>
        <v>0</v>
      </c>
    </row>
    <row r="31" spans="1:29" x14ac:dyDescent="0.25">
      <c r="A31" s="15">
        <v>30</v>
      </c>
      <c r="B31" s="15">
        <v>3418</v>
      </c>
      <c r="C31" s="16" t="s">
        <v>18</v>
      </c>
      <c r="D31" s="17">
        <v>42923</v>
      </c>
      <c r="E31" s="15" t="s">
        <v>47</v>
      </c>
      <c r="F31" s="15">
        <v>23</v>
      </c>
      <c r="G31" s="15">
        <v>1</v>
      </c>
      <c r="H31" s="15">
        <v>3</v>
      </c>
      <c r="I31" s="15" t="s">
        <v>10</v>
      </c>
      <c r="J31" s="15" t="s">
        <v>11</v>
      </c>
      <c r="K31" s="18">
        <f>(VLOOKUP(E31,'נתוני עזר'!$B$2:$C$5,2,0)*G31+VLOOKUP(E31,'נתוני עזר'!$B$2:$C$5,2,0)*H31*'נתוני עזר'!$F$2)*'נתוני עזר'!$B$8</f>
        <v>7524</v>
      </c>
      <c r="L31" s="18">
        <f t="shared" si="0"/>
        <v>7524</v>
      </c>
      <c r="M31" s="15" t="str">
        <f>INDEX('נתוני עזר'!$A$2:$A$5,MATCH(E31,'נתוני עזר'!$B$2:$B$5,0))</f>
        <v>כן</v>
      </c>
      <c r="N31" s="15" t="str">
        <f>VLOOKUP('מבצע לחג'!E31,'נתוני עזר'!$B$12:$C$15,2,0)</f>
        <v>כן</v>
      </c>
      <c r="O31" s="17">
        <f t="shared" si="1"/>
        <v>42928</v>
      </c>
      <c r="P31" s="15">
        <f>IFERROR((INDEX('נתוני עזר'!$A$12:$A$15,MATCH('מבצע לחג'!E31,'נתוני עזר'!$B$12:$B$15,0))*G31),'נתוני עזר'!$A$17)</f>
        <v>200</v>
      </c>
    </row>
    <row r="32" spans="1:29" x14ac:dyDescent="0.25">
      <c r="A32" s="15">
        <v>31</v>
      </c>
      <c r="B32" s="15">
        <v>8783</v>
      </c>
      <c r="C32" s="16" t="s">
        <v>21</v>
      </c>
      <c r="D32" s="17">
        <v>42934</v>
      </c>
      <c r="E32" s="15" t="s">
        <v>56</v>
      </c>
      <c r="F32" s="15">
        <v>25</v>
      </c>
      <c r="G32" s="15">
        <v>1</v>
      </c>
      <c r="H32" s="15">
        <v>2</v>
      </c>
      <c r="I32" s="15" t="s">
        <v>10</v>
      </c>
      <c r="J32" s="15" t="s">
        <v>9</v>
      </c>
      <c r="K32" s="18">
        <f>(VLOOKUP(E32,'נתוני עזר'!$B$2:$C$5,2,0)*G32+VLOOKUP(E32,'נתוני עזר'!$B$2:$C$5,2,0)*H32*'נתוני עזר'!$F$2)*'נתוני עזר'!$B$8</f>
        <v>5184</v>
      </c>
      <c r="L32" s="18">
        <f t="shared" si="0"/>
        <v>5184</v>
      </c>
      <c r="M32" s="15" t="str">
        <f>INDEX('נתוני עזר'!$A$2:$A$5,MATCH(E32,'נתוני עזר'!$B$2:$B$5,0))</f>
        <v>לא</v>
      </c>
      <c r="N32" s="15" t="str">
        <f>VLOOKUP('מבצע לחג'!E32,'נתוני עזר'!$B$12:$C$15,2,0)</f>
        <v>לא</v>
      </c>
      <c r="O32" s="17">
        <f t="shared" si="1"/>
        <v>42934</v>
      </c>
      <c r="P32" s="15">
        <f>IFERROR((INDEX('נתוני עזר'!$A$12:$A$15,MATCH('מבצע לחג'!E32,'נתוני עזר'!$B$12:$B$15,0))*G32),'נתוני עזר'!$A$17)</f>
        <v>0</v>
      </c>
    </row>
    <row r="38" spans="11:22" x14ac:dyDescent="0.25">
      <c r="K38" s="15">
        <v>2</v>
      </c>
      <c r="U38" s="15">
        <v>1</v>
      </c>
      <c r="V38" s="15">
        <v>1</v>
      </c>
    </row>
    <row r="39" spans="11:22" x14ac:dyDescent="0.25">
      <c r="K39" s="15">
        <v>3</v>
      </c>
      <c r="U39" s="15">
        <v>2</v>
      </c>
      <c r="V39" s="15">
        <v>1</v>
      </c>
    </row>
    <row r="40" spans="11:22" x14ac:dyDescent="0.25">
      <c r="K40" s="15" t="s">
        <v>56</v>
      </c>
      <c r="U40" s="15">
        <v>3</v>
      </c>
      <c r="V40" s="15">
        <v>1</v>
      </c>
    </row>
    <row r="41" spans="11:22" x14ac:dyDescent="0.25">
      <c r="K41" s="15" t="s">
        <v>13</v>
      </c>
      <c r="U41" s="15">
        <v>4</v>
      </c>
      <c r="V41" s="15">
        <v>2</v>
      </c>
    </row>
    <row r="42" spans="11:22" x14ac:dyDescent="0.25">
      <c r="K42" s="15" t="s">
        <v>9</v>
      </c>
      <c r="U42" s="15">
        <v>5</v>
      </c>
      <c r="V42" s="15">
        <v>2</v>
      </c>
    </row>
    <row r="43" spans="11:22" x14ac:dyDescent="0.25">
      <c r="K43" s="19">
        <v>0.1</v>
      </c>
      <c r="U43" s="15">
        <v>6</v>
      </c>
      <c r="V43" s="15">
        <v>2</v>
      </c>
    </row>
    <row r="44" spans="11:22" x14ac:dyDescent="0.25">
      <c r="U44" s="15">
        <v>7</v>
      </c>
      <c r="V44" s="15">
        <v>3</v>
      </c>
    </row>
    <row r="45" spans="11:22" x14ac:dyDescent="0.25">
      <c r="U45" s="15">
        <v>8</v>
      </c>
      <c r="V45" s="15">
        <v>3</v>
      </c>
    </row>
    <row r="46" spans="11:22" x14ac:dyDescent="0.25">
      <c r="U46" s="15">
        <v>9</v>
      </c>
      <c r="V46" s="15">
        <v>3</v>
      </c>
    </row>
    <row r="47" spans="11:22" x14ac:dyDescent="0.25">
      <c r="U47" s="15">
        <v>10</v>
      </c>
      <c r="V47" s="15">
        <v>4</v>
      </c>
    </row>
    <row r="48" spans="11:22" x14ac:dyDescent="0.25">
      <c r="U48" s="15">
        <v>11</v>
      </c>
      <c r="V48" s="15">
        <v>4</v>
      </c>
    </row>
    <row r="49" spans="21:22" x14ac:dyDescent="0.25">
      <c r="U49" s="15">
        <v>12</v>
      </c>
      <c r="V49" s="15"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3</vt:i4>
      </vt:variant>
    </vt:vector>
  </HeadingPairs>
  <TitlesOfParts>
    <vt:vector size="10" baseType="lpstr">
      <vt:lpstr>פרטים</vt:lpstr>
      <vt:lpstr>נתוני עזר</vt:lpstr>
      <vt:lpstr>טיולים</vt:lpstr>
      <vt:lpstr>גרף</vt:lpstr>
      <vt:lpstr>דוח</vt:lpstr>
      <vt:lpstr>טיולים 1</vt:lpstr>
      <vt:lpstr>מבצע לחג</vt:lpstr>
      <vt:lpstr>CostVisa</vt:lpstr>
      <vt:lpstr>'טיולים 1'!Criteria</vt:lpstr>
      <vt:lpstr>'טיולים 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roy idan</cp:lastModifiedBy>
  <dcterms:created xsi:type="dcterms:W3CDTF">2017-04-06T09:40:48Z</dcterms:created>
  <dcterms:modified xsi:type="dcterms:W3CDTF">2025-02-02T12:56:02Z</dcterms:modified>
</cp:coreProperties>
</file>