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3.xml" ContentType="application/inkml+xml"/>
  <Override PartName="/xl/drawings/drawing6.xml" ContentType="application/vnd.openxmlformats-officedocument.drawing+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קוברה\שייך לעבר\תשפד 2024 סמסטר א\לימודיות 2024\לימודיות סמ ב 2024\לימודיית יסודות המימון\"/>
    </mc:Choice>
  </mc:AlternateContent>
  <xr:revisionPtr revIDLastSave="0" documentId="13_ncr:1_{E58DA08F-CAFB-4E6D-8A26-7BB75C23F696}" xr6:coauthVersionLast="47" xr6:coauthVersionMax="47" xr10:uidLastSave="{00000000-0000-0000-0000-000000000000}"/>
  <bookViews>
    <workbookView xWindow="-108" yWindow="-108" windowWidth="30936" windowHeight="16896" xr2:uid="{00000000-000D-0000-FFFF-FFFF00000000}"/>
  </bookViews>
  <sheets>
    <sheet name="הערות חשובות" sheetId="7" r:id="rId1"/>
    <sheet name="השאלות ממועד א 2024 מסלול ערב" sheetId="4" r:id="rId2"/>
    <sheet name="שאלה 1 ריבית משתנה" sheetId="5" r:id="rId3"/>
    <sheet name="תרגול עצמי" sheetId="3" r:id="rId4"/>
    <sheet name="סילוקין " sheetId="1" r:id="rId5"/>
    <sheet name="הצמדות" sheetId="2"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8" i="1" l="1"/>
  <c r="H137" i="1" s="1"/>
  <c r="W77" i="5"/>
  <c r="M91" i="4"/>
  <c r="V18" i="2"/>
  <c r="V19" i="2" s="1"/>
  <c r="V20" i="2" s="1"/>
  <c r="S13" i="3" l="1"/>
  <c r="S14" i="3" s="1"/>
  <c r="S10" i="3"/>
  <c r="S15" i="3" s="1"/>
  <c r="P14" i="3"/>
  <c r="P15" i="3" s="1"/>
  <c r="P17" i="3" s="1"/>
  <c r="M13" i="3"/>
  <c r="M11" i="3"/>
  <c r="M14" i="3" s="1"/>
  <c r="S17" i="3" l="1"/>
  <c r="M15" i="3"/>
  <c r="M17" i="3" s="1"/>
  <c r="N120" i="4"/>
  <c r="M127" i="3" l="1"/>
  <c r="M128" i="3" s="1"/>
  <c r="M122" i="3"/>
  <c r="M116" i="3"/>
  <c r="L51" i="3"/>
  <c r="L52" i="3" s="1"/>
  <c r="U403" i="4" l="1"/>
  <c r="U402" i="4"/>
  <c r="U401" i="4"/>
  <c r="R365" i="4"/>
  <c r="U364" i="4"/>
  <c r="R364" i="4"/>
  <c r="R362" i="4"/>
  <c r="T361" i="4"/>
  <c r="S182" i="1"/>
  <c r="U175" i="1"/>
  <c r="S173" i="1"/>
  <c r="W172" i="1" s="1"/>
  <c r="V146" i="1"/>
  <c r="V147" i="1" s="1"/>
  <c r="S150" i="1"/>
  <c r="V148" i="1"/>
  <c r="V149" i="1" s="1"/>
  <c r="S148" i="1"/>
  <c r="U405" i="4" l="1"/>
  <c r="T366" i="4"/>
  <c r="T369" i="4"/>
  <c r="W176" i="1"/>
  <c r="W178" i="1" s="1"/>
  <c r="W180" i="1" s="1"/>
  <c r="V151" i="1"/>
  <c r="U372" i="3" l="1"/>
  <c r="U373" i="3" s="1"/>
  <c r="Q348" i="3"/>
  <c r="T344" i="3" s="1"/>
  <c r="T345" i="3" s="1"/>
  <c r="T347" i="3" s="1"/>
  <c r="Q329" i="3"/>
  <c r="U322" i="3" s="1"/>
  <c r="U323" i="3" s="1"/>
  <c r="Q328" i="3"/>
  <c r="U326" i="3" s="1"/>
  <c r="Q317" i="3"/>
  <c r="U316" i="3" s="1"/>
  <c r="U317" i="3" s="1"/>
  <c r="Q316" i="3"/>
  <c r="U315" i="3" s="1"/>
  <c r="T295" i="3"/>
  <c r="R294" i="3"/>
  <c r="R296" i="3" s="1"/>
  <c r="R286" i="3"/>
  <c r="T293" i="3" s="1"/>
  <c r="Q271" i="3"/>
  <c r="Q272" i="3" s="1"/>
  <c r="Q267" i="3"/>
  <c r="Q266" i="3"/>
  <c r="Q260" i="3"/>
  <c r="Q261" i="3" s="1"/>
  <c r="Q257" i="3"/>
  <c r="Q254" i="3"/>
  <c r="T296" i="3" l="1"/>
  <c r="R298" i="3" s="1"/>
  <c r="Q268" i="3"/>
  <c r="S331" i="3"/>
  <c r="S319" i="3"/>
  <c r="M76" i="3"/>
  <c r="M77" i="3" s="1"/>
</calcChain>
</file>

<file path=xl/sharedStrings.xml><?xml version="1.0" encoding="utf-8"?>
<sst xmlns="http://schemas.openxmlformats.org/spreadsheetml/2006/main" count="483" uniqueCount="336">
  <si>
    <t>PMTרבעוני</t>
  </si>
  <si>
    <t>NPER</t>
  </si>
  <si>
    <t>TYPE</t>
  </si>
  <si>
    <t>רבעונית</t>
  </si>
  <si>
    <t>RATE</t>
  </si>
  <si>
    <t>PV</t>
  </si>
  <si>
    <t>מציאת חלופת תשלומים</t>
  </si>
  <si>
    <t>ממועד א 2024 מסלול ערב</t>
  </si>
  <si>
    <t>חלופה א:</t>
  </si>
  <si>
    <t>חלופה ב:</t>
  </si>
  <si>
    <t>ריבית חודשית</t>
  </si>
  <si>
    <t>סכום קבוע חודשי</t>
  </si>
  <si>
    <t>ריבית חציונית</t>
  </si>
  <si>
    <t>תקופות בחודשים</t>
  </si>
  <si>
    <t>סילוקין, תיאורטיות</t>
  </si>
  <si>
    <t>רגיל</t>
  </si>
  <si>
    <t>שפיצר</t>
  </si>
  <si>
    <t>סך תשלומי קרן</t>
  </si>
  <si>
    <t>=</t>
  </si>
  <si>
    <t>סך תשלומי ריבית</t>
  </si>
  <si>
    <t>&gt;</t>
  </si>
  <si>
    <t>סכום הפקדה היום</t>
  </si>
  <si>
    <t>משך בחודשים</t>
  </si>
  <si>
    <t>ריבית שנתית</t>
  </si>
  <si>
    <t>בנק הנסיכה</t>
  </si>
  <si>
    <t>סכום הלוואה</t>
  </si>
  <si>
    <t>ריבית אפקטיבית שנתית</t>
  </si>
  <si>
    <t>בנק היורשת</t>
  </si>
  <si>
    <t>בנק המלכה</t>
  </si>
  <si>
    <t>עמלת פתיחת תיק</t>
  </si>
  <si>
    <t>שלושה בנקים, ההלוואה של מי עדיפה</t>
  </si>
  <si>
    <t>שאלה 1</t>
  </si>
  <si>
    <t>ריבית רבעונית</t>
  </si>
  <si>
    <t>ריבית חצי שנתית</t>
  </si>
  <si>
    <t>ריבית נקובה שנתית</t>
  </si>
  <si>
    <t>גובה ההלוואה שנלקחה (נניח 100)</t>
  </si>
  <si>
    <t>הסכום נטו שהתקבל מהבק</t>
  </si>
  <si>
    <t>הסכום נטו שיוחזר לבנק</t>
  </si>
  <si>
    <t>ריבית יומית</t>
  </si>
  <si>
    <t>ריבית אפקטיבית חודשית</t>
  </si>
  <si>
    <t>שאלת 5 מסלולי הלוואה</t>
  </si>
  <si>
    <t>שאלה 11</t>
  </si>
  <si>
    <t>מספר חודשים בשנה</t>
  </si>
  <si>
    <t>עמלת רישום מסמכים</t>
  </si>
  <si>
    <t>מענק לקוח נאמן</t>
  </si>
  <si>
    <t>הלוואה</t>
  </si>
  <si>
    <t>סה"כ</t>
  </si>
  <si>
    <t>הריבית השנתית הגלומה בעסקה</t>
  </si>
  <si>
    <t>לקיחת הלוואה + עמלה + מענק</t>
  </si>
  <si>
    <t>שאלה 2</t>
  </si>
  <si>
    <t>PV=</t>
  </si>
  <si>
    <t>סך שכר</t>
  </si>
  <si>
    <t>ערך נוכחי פעימה 1 היום:</t>
  </si>
  <si>
    <t>פעימה 1 בעוד 3 חודשים</t>
  </si>
  <si>
    <t>ערך נוכחי פעימה 2 בחודש 6:</t>
  </si>
  <si>
    <t>פעימה 2 בתום השנה</t>
  </si>
  <si>
    <t>ערך נוכחי פעימה 2 היום:</t>
  </si>
  <si>
    <t>חלופה ג:</t>
  </si>
  <si>
    <t>מענק חתימה היום</t>
  </si>
  <si>
    <t>ערך נוכחי שכר חודשים 8-12 בחודש 6:</t>
  </si>
  <si>
    <t>שכר דו-חודשי</t>
  </si>
  <si>
    <t>ערך נוכחי שכר חודשים 8-12 היום:</t>
  </si>
  <si>
    <t>ריבית חודשים 1-6</t>
  </si>
  <si>
    <t>ריבית חודשים 7-12</t>
  </si>
  <si>
    <t>ערך נוכחי שכר חודשים 1-6 היום:</t>
  </si>
  <si>
    <t>ריבית דו-חודשית (1-6)</t>
  </si>
  <si>
    <t>ריבית דו-חודשית (7-12)</t>
  </si>
  <si>
    <t>ממועד א 2024 מסלול ערב: ריבית משתנה בציר הזמן</t>
  </si>
  <si>
    <t>ממועד א 2024 מסלול ערב, קפיצות בסדרות</t>
  </si>
  <si>
    <t>מחיר במזומן</t>
  </si>
  <si>
    <t>שווי נוכחי של התשלומים בחודש 1:</t>
  </si>
  <si>
    <t>תשלום רבעוני</t>
  </si>
  <si>
    <t>שווי נוכחי של התשלומים היום:</t>
  </si>
  <si>
    <t>מספר תשלומים</t>
  </si>
  <si>
    <t>חיסכון כספי</t>
  </si>
  <si>
    <t xml:space="preserve">סכום עתידי </t>
  </si>
  <si>
    <t>תקופה בשנים</t>
  </si>
  <si>
    <t>ריבית חודשית:</t>
  </si>
  <si>
    <t>תקופה בחודשים</t>
  </si>
  <si>
    <t xml:space="preserve">ממועד א 2024 מסלול ערב  מציאת ריבית שנתית מתוכנית חיסכון </t>
  </si>
  <si>
    <t>גובה הלוואה</t>
  </si>
  <si>
    <t>ריבית שנתית נקובה</t>
  </si>
  <si>
    <t>תקופות בשנים</t>
  </si>
  <si>
    <t>יתרת קרן לאחר 9 תשלומים</t>
  </si>
  <si>
    <t>תקופות ברבעונים</t>
  </si>
  <si>
    <t>מרכיב ריבית בתשלום העשירי</t>
  </si>
  <si>
    <t>מועד א 2024  ממסלול ערב</t>
  </si>
  <si>
    <t>n</t>
  </si>
  <si>
    <t>r</t>
  </si>
  <si>
    <t>בנק ד:</t>
  </si>
  <si>
    <t>מרכיב ריבית תשלום 4</t>
  </si>
  <si>
    <t>מרכיב ריבית בפועל תשלום 4</t>
  </si>
  <si>
    <t>תקופה בחציונים</t>
  </si>
  <si>
    <t>מרכיב ריבית תשלום 5</t>
  </si>
  <si>
    <t>מרכיב ריבית בפועל תשלום 5</t>
  </si>
  <si>
    <t>אינפלציה חודשית חודשים 1-3</t>
  </si>
  <si>
    <t>אינפלציה חודשית חודשים 4+</t>
  </si>
  <si>
    <t>גובה משכנתא</t>
  </si>
  <si>
    <t>משך בשנים</t>
  </si>
  <si>
    <t>החזר חודשי (pmt)</t>
  </si>
  <si>
    <t>יתרת לא צמודה קרן לאחר 15 שנה</t>
  </si>
  <si>
    <t>כספי זכייה</t>
  </si>
  <si>
    <t>יתרת קרן צמודה לאחר 15 שנה:</t>
  </si>
  <si>
    <t>אינפלציה בשנים 1-5</t>
  </si>
  <si>
    <t>מדד בתום 5 שנים</t>
  </si>
  <si>
    <t>מדד בתום 15 שנה</t>
  </si>
  <si>
    <t>יתרת קרן סופית:</t>
  </si>
  <si>
    <t>אינפלציה בין השנים 5-15</t>
  </si>
  <si>
    <t>עלות החופשה</t>
  </si>
  <si>
    <t>הנחת מזומן</t>
  </si>
  <si>
    <t>קנס פיגורים</t>
  </si>
  <si>
    <t>תשלום חצי שנתי קבוע</t>
  </si>
  <si>
    <t>תשלום בעוד שנה עם קנס</t>
  </si>
  <si>
    <t>גובה תשלום שנתי</t>
  </si>
  <si>
    <t>מספר תשלום</t>
  </si>
  <si>
    <t xml:space="preserve">ערך נוכחי </t>
  </si>
  <si>
    <t>ריבית חודשית שנה 1</t>
  </si>
  <si>
    <t>ריבית חודשית שנה 2</t>
  </si>
  <si>
    <t>ריבית חודשית שנה 3</t>
  </si>
  <si>
    <t>שווי היום של כל התשלומים</t>
  </si>
  <si>
    <t>ממועד א 2023, לתרגל לבד, א נכונה</t>
  </si>
  <si>
    <t>דמי שכירות בתחילת כל חודש</t>
  </si>
  <si>
    <t>מספר חודשים כולל</t>
  </si>
  <si>
    <t>ערך נוכחי של תקבולים בהתאם לחוזה</t>
  </si>
  <si>
    <t>בנק "הקסם"</t>
  </si>
  <si>
    <t>N</t>
  </si>
  <si>
    <t>PMT</t>
  </si>
  <si>
    <t>Rate</t>
  </si>
  <si>
    <t>בנק "הטריק"</t>
  </si>
  <si>
    <t>בנק "האשליה"</t>
  </si>
  <si>
    <t>FV</t>
  </si>
  <si>
    <t>ניתן לראות כי כל הריביות שוות ולכן נהיה אדישים בין ההצעות.</t>
  </si>
  <si>
    <t xml:space="preserve">תרגול עצמי </t>
  </si>
  <si>
    <t>תרגול עצמי, מציאת חלופת תשלומים</t>
  </si>
  <si>
    <t xml:space="preserve">ממועד א 2024 מסלול ערב, לשים לב להבדל בין שאלה זו לקודמת כלומר הפקדה היום לעומת הפקדה של סכום חד פעמי היום </t>
  </si>
  <si>
    <t>שנה 1</t>
  </si>
  <si>
    <t>שנה 2</t>
  </si>
  <si>
    <t>שנה 3</t>
  </si>
  <si>
    <t>שנה 4</t>
  </si>
  <si>
    <t>רבעוני</t>
  </si>
  <si>
    <t>בשנים</t>
  </si>
  <si>
    <t>ברבעונים</t>
  </si>
  <si>
    <t>חודשית</t>
  </si>
  <si>
    <t>רבעונית (ריבית ל 3 חודשים)</t>
  </si>
  <si>
    <t>?</t>
  </si>
  <si>
    <t>נמצא את הערך העתידי FV בתום 48 החודשים</t>
  </si>
  <si>
    <t>נמצא את הערך העתידי FV 
בתום 60 החודשים הבאים</t>
  </si>
  <si>
    <t>נמצא את הערך העתידי FV 
בתום 123 חודשים הבאים</t>
  </si>
  <si>
    <t>חלופה א</t>
  </si>
  <si>
    <t>תקופות בחצאי שנה</t>
  </si>
  <si>
    <t>חלופה ב</t>
  </si>
  <si>
    <t>PMT    חודשי</t>
  </si>
  <si>
    <t>PMT     חצי שנתי</t>
  </si>
  <si>
    <t xml:space="preserve">  סכום עתידי FV</t>
  </si>
  <si>
    <t>הצעה 1</t>
  </si>
  <si>
    <t>סכום חד פעמי היום PV</t>
  </si>
  <si>
    <t>סכום עתידי FV</t>
  </si>
  <si>
    <t>ביקשו ריבית שנתית אפקטיבית</t>
  </si>
  <si>
    <t>הצעה 2</t>
  </si>
  <si>
    <t>אין</t>
  </si>
  <si>
    <t>PMT כל חודשיים</t>
  </si>
  <si>
    <t>מספר הפקדות NPER</t>
  </si>
  <si>
    <t>ריבית לחודשיים</t>
  </si>
  <si>
    <t xml:space="preserve">סכום עתידי FV </t>
  </si>
  <si>
    <t>TYPE תחילת חודש</t>
  </si>
  <si>
    <r>
      <t>תקופות</t>
    </r>
    <r>
      <rPr>
        <sz val="11"/>
        <color rgb="FF00B0F0"/>
        <rFont val="Arial"/>
        <family val="2"/>
        <scheme val="minor"/>
      </rPr>
      <t xml:space="preserve"> בחודשים</t>
    </r>
  </si>
  <si>
    <r>
      <t xml:space="preserve">ריבית </t>
    </r>
    <r>
      <rPr>
        <sz val="11"/>
        <color rgb="FF00B0F0"/>
        <rFont val="Arial"/>
        <family val="2"/>
        <scheme val="minor"/>
      </rPr>
      <t>חודשית</t>
    </r>
  </si>
  <si>
    <t>סך השכר 27000</t>
  </si>
  <si>
    <t xml:space="preserve">פעימה ראשונה בסוף חודש 3: </t>
  </si>
  <si>
    <t>פעימה שנייה בתום חודש 12:</t>
  </si>
  <si>
    <t>ניקח הפעימה השנייה מסוף חודש 6 לשווי היום</t>
  </si>
  <si>
    <t>נחבר שתי הפעימות של חלופה ב שהן בזמן 0</t>
  </si>
  <si>
    <t>ה PV של חלופה ב</t>
  </si>
  <si>
    <t>ה PV של חלופה א:</t>
  </si>
  <si>
    <t>חלופה ג</t>
  </si>
  <si>
    <t>ריבית חודשית לחודשים 1-6</t>
  </si>
  <si>
    <t>ריבית חודשית לחודשים 7-12</t>
  </si>
  <si>
    <t>ריבית כל חודשיים: חודשים 1-6</t>
  </si>
  <si>
    <t>ריבית כל חודשיים: חודשים 7-12</t>
  </si>
  <si>
    <t>ניקח אחורה לסוף חודש 6 (נק שינוי הריבית)</t>
  </si>
  <si>
    <t>מסוף חודש 6, נביא אחורה התוצאה לזמן 0 עם ריבית כל חודשיים אחרת 2.01%</t>
  </si>
  <si>
    <t xml:space="preserve">את 3 התשלומים האחרונים </t>
  </si>
  <si>
    <t>טיפול ב 3 המשכורות האחרונות: סוף 12, סוף 10, סוף 8</t>
  </si>
  <si>
    <t>טיפול ב 3 המשכורות הראשונות: סוף 2, סוף 4, סוף 6</t>
  </si>
  <si>
    <t xml:space="preserve">את 3 התשלומים הראשונים </t>
  </si>
  <si>
    <t>ניקח אחורה לזמן 0 בעזרת הריבית שהיא כל חודשיים: 2.01%</t>
  </si>
  <si>
    <t>ה PV של חלופה ג</t>
  </si>
  <si>
    <t>שאלת מסלולים, המטרה להגיע לריבית אפקטיבית שנתית בכל המסלולים</t>
  </si>
  <si>
    <t>בנק א</t>
  </si>
  <si>
    <t>כמה חודשים בשנה?</t>
  </si>
  <si>
    <t>בנק ב</t>
  </si>
  <si>
    <t>כמה רבעים בשנה?</t>
  </si>
  <si>
    <t xml:space="preserve">בנק ג: </t>
  </si>
  <si>
    <t>חוק:</t>
  </si>
  <si>
    <t>המספר הראשון יוכנס ראשון והתדירות השנתית תוכנס שנייה</t>
  </si>
  <si>
    <t>המספר הראשון אצלנו הוא 22%</t>
  </si>
  <si>
    <t>מה התדירות של חודשיים בשנה?</t>
  </si>
  <si>
    <t xml:space="preserve">כאשר יש עמלות, נרצה לגלות את הריבית הגלומה שמסתתרת ולכן נכין תבנית: </t>
  </si>
  <si>
    <t>ה PV האמיתי (סכום נטו שנקבל היום)</t>
  </si>
  <si>
    <t>ה FV האמיתי (הסכום נטו שיוחזור בסוף התקופה)</t>
  </si>
  <si>
    <t>הריבית הגלומה האפקטיבית</t>
  </si>
  <si>
    <t>בהלוואה נרצה לשלם כמה שפחות ולכן ניקח את הצעת בנק ד</t>
  </si>
  <si>
    <t>כמה ימים בשנה?</t>
  </si>
  <si>
    <t>המחיר במזומן</t>
  </si>
  <si>
    <t>PMT רבעוני</t>
  </si>
  <si>
    <t xml:space="preserve">מספר תשלומים </t>
  </si>
  <si>
    <t>ריבית לחודש</t>
  </si>
  <si>
    <t xml:space="preserve">ריבית לרבעון </t>
  </si>
  <si>
    <t>ה PV נכון לסוף חודש 1</t>
  </si>
  <si>
    <t>ה PV נכון לזמן 0 היום</t>
  </si>
  <si>
    <t>ההפרש</t>
  </si>
  <si>
    <t>סכום הפקדה חד פעמי היום PV</t>
  </si>
  <si>
    <t>משך תוכנית החיסכון בשנים</t>
  </si>
  <si>
    <t>משפט במבנה של: "ריבית שנתית...., המחושבת....." נעבוד עם EFFECT</t>
  </si>
  <si>
    <t>מה התדירות של רבעון בשנה?</t>
  </si>
  <si>
    <t>ריבית אפקטיבית לשנה</t>
  </si>
  <si>
    <t>ריבית גלומה לשנתיים (הזמן שבין PV ל FV קרי משך התוכנית)</t>
  </si>
  <si>
    <t>ריבית גלומה שנתית</t>
  </si>
  <si>
    <t>עמלת סגירה באחוזים</t>
  </si>
  <si>
    <t>עמלת סגירה בש"ח</t>
  </si>
  <si>
    <t>הסכום שיוחזר בעוד שנה לפני עמלת סגירה</t>
  </si>
  <si>
    <t>הסכום האמיתי שקיבלנו ביום לקיחת ההלוואה</t>
  </si>
  <si>
    <t>הסכום האמיתי והסופי שיוחזר כולל עמלת סגירה</t>
  </si>
  <si>
    <t xml:space="preserve">ריבית אפקטיבית שנתית </t>
  </si>
  <si>
    <t>ריבית שנתית שנגבית מראש</t>
  </si>
  <si>
    <t>הריבית מראש שנגבתה</t>
  </si>
  <si>
    <t>הסכום האמיתי שנחזיר</t>
  </si>
  <si>
    <t>עמלת פתיחת תיק באחוזים</t>
  </si>
  <si>
    <t>עמלת פתיחת תיק בשח</t>
  </si>
  <si>
    <t>לא תשלם</t>
  </si>
  <si>
    <t>צוברת ריבית</t>
  </si>
  <si>
    <t xml:space="preserve">תשלומים סוף חודשיים שווים = שפיצר </t>
  </si>
  <si>
    <t xml:space="preserve">ה PV המקורי </t>
  </si>
  <si>
    <t xml:space="preserve">ריבית שנתית 6% אך למציאת הריבית החודשית נחלקה  ב 12 </t>
  </si>
  <si>
    <t>ונקבל ריבית חודשית של 0.5%</t>
  </si>
  <si>
    <t>החזר הקרן הרבעוני</t>
  </si>
  <si>
    <t>תקופה ברבעונים</t>
  </si>
  <si>
    <t xml:space="preserve">ריבית שנתית אפקטיבית </t>
  </si>
  <si>
    <t xml:space="preserve">ריבית רבעונית </t>
  </si>
  <si>
    <t>מרכיב ריבית רבעוני בתשלום 14</t>
  </si>
  <si>
    <t>IPMT</t>
  </si>
  <si>
    <t>ה PV גובה ההלוואה</t>
  </si>
  <si>
    <t>התקופה בשנים</t>
  </si>
  <si>
    <t>ההלוואה צמודה למדד</t>
  </si>
  <si>
    <t xml:space="preserve">לאחר 4 החזרים, תמיר רוצה </t>
  </si>
  <si>
    <t xml:space="preserve">לפרוע ההלוואה. </t>
  </si>
  <si>
    <t>לכן הוא שואל:</t>
  </si>
  <si>
    <t>נזכיר שנותר לו לשלם 8 פעמים PMT של 108415.12</t>
  </si>
  <si>
    <t>נחשב כמה שווים 8 ההחזרים היום כי הוא רוצה לשלמם היום</t>
  </si>
  <si>
    <t xml:space="preserve">כעת נצמיד: </t>
  </si>
  <si>
    <t>יתרת החוב בפועל (הצמודה)</t>
  </si>
  <si>
    <t>יתרת החוב (לא צמודה)</t>
  </si>
  <si>
    <t>דוגמה לשימוש בנוסחה</t>
  </si>
  <si>
    <t xml:space="preserve">מהו הסכום שנידרש להחזיר בתום תקופת ההלוואה לפני הצמדה? </t>
  </si>
  <si>
    <t>*</t>
  </si>
  <si>
    <t>ה FV לפני הצמדה</t>
  </si>
  <si>
    <t>נתון</t>
  </si>
  <si>
    <t>הנעלם היחיד</t>
  </si>
  <si>
    <t>(1+3%)</t>
  </si>
  <si>
    <t>חוק</t>
  </si>
  <si>
    <t>אם ההלוואה לא צמודה, הריבית הנתונה בשאלה היא ריבית נומינלית.</t>
  </si>
  <si>
    <t xml:space="preserve">אם ההלוואה כן צמודה, הריבית הנתונה בשאלה היא ריבית ריאלית. </t>
  </si>
  <si>
    <t>בשאלה שלנו ההלוואה לא צמודה ולכן הריבית שנתונה 10% היא ריבית נומינלית!</t>
  </si>
  <si>
    <t>ריבית נומינלית רבעונית נתונה     10%</t>
  </si>
  <si>
    <t xml:space="preserve">ריבית נומינלית שנתית </t>
  </si>
  <si>
    <t>תשובה לסעיף א</t>
  </si>
  <si>
    <t xml:space="preserve">סעיף ב: </t>
  </si>
  <si>
    <t>π</t>
  </si>
  <si>
    <t>מדד מחירים לצרכן עולה בחודש ב 2% (אינפלציה חודשית 2%)</t>
  </si>
  <si>
    <t>נמיר אינפלציה חודשית לאינפלציה שנתית</t>
  </si>
  <si>
    <t>שנתי</t>
  </si>
  <si>
    <t>חודשי</t>
  </si>
  <si>
    <t>בסעיף ב שאלו על ריבית ריאלית שנתית. דאגנו לכך שהאינפלציה תהיה שנתית וגם שהריבית הנומינלית תהיה שנתית. לכן כעת ניתן להציב הכל בנוסחת פישר ולחלץ שהריבית הריאלית השנתית הינה 15.44%</t>
  </si>
  <si>
    <t>ריבית חודשית להלוואה הלא צמודה (ריבית נומינלית)</t>
  </si>
  <si>
    <t>ריבית רבעונית להלוואה צמודה (ריבית ריאלית)</t>
  </si>
  <si>
    <t>ריבית שנתית נומינלית</t>
  </si>
  <si>
    <t>Rn</t>
  </si>
  <si>
    <t>ריבית שנתית ריאלית</t>
  </si>
  <si>
    <t>Rr</t>
  </si>
  <si>
    <t>אינפלציה חזויה</t>
  </si>
  <si>
    <t>תוכנית ירח היא לא צמודה ולכן הריבית שלה היא הנומינלית 7.731%
תוכנית שמש היא צמודה...כאשר התוכנית צמודה אז הריבית הנתונה היא הריאלית ולכן הריבית הריאלית הינה 4%
נציב בנוסחא ונחלץ את סימון הפאי כלומר אינפלציה 3.58%    תשובה א נכונה</t>
  </si>
  <si>
    <t>מציאת הריבית הנומינלית:</t>
  </si>
  <si>
    <t>האינפלציה</t>
  </si>
  <si>
    <t>ריבית שנתית (ריבית ריאלית כי ההלוואה צמודה)</t>
  </si>
  <si>
    <t>ממועד א 2024 של מסלול ערב</t>
  </si>
  <si>
    <t>אחרי הצמדה</t>
  </si>
  <si>
    <t>איפלציה</t>
  </si>
  <si>
    <t>לפני</t>
  </si>
  <si>
    <t>ריאלית</t>
  </si>
  <si>
    <t>נומינלית</t>
  </si>
  <si>
    <t>FV אחרי הצמדה</t>
  </si>
  <si>
    <t>נמצא את שווי הפעימה השנייה היום אך נעצור בנק שינוי הריבית: סוף חודש 6</t>
  </si>
  <si>
    <t>נמצא את שווי הפעימה הראשונה היום (מסוף חודש 3 אחורה להיום)</t>
  </si>
  <si>
    <t>זאת החלופה המועדפת!!!</t>
  </si>
  <si>
    <t xml:space="preserve">  pmt </t>
  </si>
  <si>
    <t>נתונים:</t>
  </si>
  <si>
    <t>שאלה של הפקדות ומשיכות</t>
  </si>
  <si>
    <t>נסמן הפקדה ב - ומשיכה ב +</t>
  </si>
  <si>
    <t>סימן זהה ל PV ו PMT כי שניהם סוג של הפקדה והם מתווספים אחד לשני</t>
  </si>
  <si>
    <t>חלופה א הכי קצרה!</t>
  </si>
  <si>
    <t>ההצעה הטובה יותר!</t>
  </si>
  <si>
    <t>20 שנים</t>
  </si>
  <si>
    <t xml:space="preserve"> PMT הפקדה קבועה חודשית</t>
  </si>
  <si>
    <t>המספר שמופיע ראשון יוכנס ראשון לפונקציה והתדירות השנתית תוכנס שנייה</t>
  </si>
  <si>
    <t xml:space="preserve">המספר הראשון אצלנו הוא </t>
  </si>
  <si>
    <t>ה PV האמיתי (סכום נטו איתו התחלנו את ההפקדה היום)</t>
  </si>
  <si>
    <t>ה FV האמיתי (הסכום נטו שנקבל בסוף ההפקדה)</t>
  </si>
  <si>
    <t>ה PV שרצינו להפקיד ולהתחיל לחסוך ממנו</t>
  </si>
  <si>
    <t xml:space="preserve">עמלה ברגע ההפקדה "עמלת הפקדה"  </t>
  </si>
  <si>
    <t>עמלת סגירת תוכנית החיסכון (בסוף התוכנית)</t>
  </si>
  <si>
    <t>שאלה 14, א נכונה</t>
  </si>
  <si>
    <t>לוח סילוקין רגיל, נעבוד ללא פונקציות:</t>
  </si>
  <si>
    <t>ההחזרים PMT רבעוניים</t>
  </si>
  <si>
    <t xml:space="preserve">כביכול מדובר בהלוואה חדשה אך בסכום 81612.04 למשך 8 החזרים שווים </t>
  </si>
  <si>
    <t>תום 20 השנים = סוף ציר הזמן</t>
  </si>
  <si>
    <t>הפקדה חד פעמית היום PV</t>
  </si>
  <si>
    <r>
      <t xml:space="preserve">48 הפקדות </t>
    </r>
    <r>
      <rPr>
        <sz val="11"/>
        <color rgb="FF00B0F0"/>
        <rFont val="Arial"/>
        <family val="2"/>
        <scheme val="minor"/>
      </rPr>
      <t>חודשיות</t>
    </r>
    <r>
      <rPr>
        <sz val="11"/>
        <color theme="1"/>
        <rFont val="Arial"/>
        <family val="2"/>
        <scheme val="minor"/>
      </rPr>
      <t xml:space="preserve"> קבועות  PMT של סוף חודש</t>
    </r>
  </si>
  <si>
    <r>
      <t xml:space="preserve">132 משיכות </t>
    </r>
    <r>
      <rPr>
        <sz val="11"/>
        <color rgb="FF00B0F0"/>
        <rFont val="Arial"/>
        <family val="2"/>
        <scheme val="minor"/>
      </rPr>
      <t>חודשיות</t>
    </r>
    <r>
      <rPr>
        <sz val="11"/>
        <color theme="1"/>
        <rFont val="Arial"/>
        <family val="2"/>
        <scheme val="minor"/>
      </rPr>
      <t xml:space="preserve"> קבועות PMT של סוף חודש</t>
    </r>
  </si>
  <si>
    <t>שווי היום  PV   של חלופת 5 התשלומים הרבעוניים</t>
  </si>
  <si>
    <t>נפעיל FV !</t>
  </si>
  <si>
    <r>
      <rPr>
        <sz val="12"/>
        <rFont val="David"/>
        <family val="2"/>
      </rPr>
      <t xml:space="preserve">שמרית לוותה סכום של 80,000 ש"ח לתקופה של שנה בריבית שנתית בשיעור של 6% מחושבת חודשית. ההלוואה תוחזר בתשלומים סוף חודשיים שווים...שפיצר. 
בעקבות בקשתה של שמרית הסכים מנהל הבנק לאפשר לה לשלם רק החל מסוף החודש החמישי (במקום מסוף החודש הראשון) מועד תום ההלוואה נותר כשהיה. 
</t>
    </r>
    <r>
      <rPr>
        <b/>
        <sz val="12"/>
        <rFont val="David"/>
        <family val="2"/>
      </rPr>
      <t xml:space="preserve">חשב את התשלום החודשי של שמרית?
</t>
    </r>
    <r>
      <rPr>
        <sz val="9"/>
        <rFont val="David"/>
        <family val="2"/>
      </rPr>
      <t>1</t>
    </r>
    <r>
      <rPr>
        <sz val="8"/>
        <rFont val="David"/>
        <family val="2"/>
      </rPr>
      <t>. כ 10,432 ₪ 
2. כ 11,893 ₪ 
3. כ 11,658 ₪ 
4. כ 10,226 ₪ 
5. כל התשובות האחרות אינן נכונות</t>
    </r>
  </si>
  <si>
    <t>הרי 80000 היום הם לא אותם 80000 בעוד 4 חודשים (יהיו שווים יותר עקב הריבית)</t>
  </si>
  <si>
    <t>6%/12</t>
  </si>
  <si>
    <t>נרצה לדעת את מצב ההלוואה נכון לתחילת חודש 5 (סוף חודש 4) לאחר צבירת 4 חודשי ריבית</t>
  </si>
  <si>
    <t xml:space="preserve">אנו בשפיצר, נמצא את  </t>
  </si>
  <si>
    <t>גובה ההחזר הקבוע השנתי PMT</t>
  </si>
  <si>
    <t>כמה עוד נותר לי להחזיר? כמה שווים היום לצורך התשלום כל 8 ההחזרים העתידיים שנותרו?</t>
  </si>
  <si>
    <t>הצמדות</t>
  </si>
  <si>
    <t>נציב אותו בפונקציית ה RATE למציאת הריבית הריאלית</t>
  </si>
  <si>
    <t>בעזרת נוסחת פישר נמצא את ה:</t>
  </si>
  <si>
    <t>הכל ב TYPE  0   סוף תקופה</t>
  </si>
  <si>
    <t>.</t>
  </si>
  <si>
    <t>א נכונה</t>
  </si>
  <si>
    <t>למציאת הריבית הריאלית חשוב לזכור שה FV הוא לפני הצמדה כלומר אצלינו  FV  = ____________</t>
  </si>
  <si>
    <t>הנושא הבא: לוחות סילוקין! הקובץ הכי טוב והכי מקיף לתרגול בנושא סילוקין הינו קובץ התרגול הפרונטלי מה MOODLE בנושא לוחות סילוקין</t>
  </si>
  <si>
    <t>הקובץ הכי טוב והכי מקיף לתרגול בנושא סילוקין הינו קובץ התרגול הפרונטלי מה MOODLE בנושא לוחות סילוקין, עדיף על כל דבר אחר!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</si>
</sst>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0.0"/>
    <numFmt numFmtId="165" formatCode="&quot;₪&quot;#,##0.00;[Red]\-&quot;₪&quot;#,##0.00"/>
    <numFmt numFmtId="166" formatCode="&quot;$&quot;#,##0.00_);[Red]\(&quot;$&quot;#,##0.00\)"/>
    <numFmt numFmtId="167" formatCode="_ [$₪-40D]\ * #,##0.00_ ;_ [$₪-40D]\ * \-#,##0.00_ ;_ [$₪-40D]\ * &quot;-&quot;??_ ;_ @_ "/>
    <numFmt numFmtId="168" formatCode="0.000%"/>
    <numFmt numFmtId="169" formatCode="_ * #,##0_ ;_ * \-#,##0_ ;_ * &quot;-&quot;??_ ;_ @_ "/>
    <numFmt numFmtId="170" formatCode="0.0%"/>
    <numFmt numFmtId="171" formatCode="#,##0_ ;[Red]\-#,##0\ "/>
    <numFmt numFmtId="172" formatCode="0.00000%"/>
    <numFmt numFmtId="173" formatCode="#,##0.00\ &quot;₪&quot;;[Red]\-#,##0.00\ &quot;₪&quot;"/>
    <numFmt numFmtId="174" formatCode="0.000"/>
    <numFmt numFmtId="175" formatCode="0.0000%"/>
    <numFmt numFmtId="176" formatCode="#,##0.00&quot;₪&quot;;[Red]\-#,##0.00&quot;₪&quot;"/>
    <numFmt numFmtId="177" formatCode="0.000000"/>
  </numFmts>
  <fonts count="52" x14ac:knownFonts="1">
    <font>
      <sz val="11"/>
      <color theme="1"/>
      <name val="Arial"/>
      <family val="2"/>
      <scheme val="minor"/>
    </font>
    <font>
      <sz val="11"/>
      <color theme="1"/>
      <name val="Arial"/>
      <family val="2"/>
      <scheme val="minor"/>
    </font>
    <font>
      <b/>
      <sz val="13"/>
      <color theme="3"/>
      <name val="Arial"/>
      <family val="2"/>
      <charset val="177"/>
      <scheme val="minor"/>
    </font>
    <font>
      <u/>
      <sz val="11"/>
      <color theme="1"/>
      <name val="Arial"/>
      <family val="2"/>
      <scheme val="minor"/>
    </font>
    <font>
      <b/>
      <sz val="11"/>
      <color theme="1"/>
      <name val="Arial"/>
      <family val="2"/>
      <scheme val="minor"/>
    </font>
    <font>
      <b/>
      <u/>
      <sz val="11"/>
      <color theme="1"/>
      <name val="Arial"/>
      <family val="2"/>
      <scheme val="minor"/>
    </font>
    <font>
      <b/>
      <sz val="12"/>
      <color theme="1"/>
      <name val="Calibri"/>
      <family val="2"/>
    </font>
    <font>
      <sz val="12"/>
      <color theme="1"/>
      <name val="Arial"/>
      <family val="2"/>
      <scheme val="minor"/>
    </font>
    <font>
      <sz val="12"/>
      <color theme="1"/>
      <name val="Calibri"/>
      <family val="2"/>
    </font>
    <font>
      <b/>
      <sz val="12"/>
      <name val="Calibri"/>
      <family val="2"/>
    </font>
    <font>
      <sz val="12"/>
      <name val="Calibri"/>
      <family val="2"/>
    </font>
    <font>
      <b/>
      <sz val="12"/>
      <color theme="1"/>
      <name val="Arial"/>
      <family val="2"/>
      <scheme val="minor"/>
    </font>
    <font>
      <u/>
      <sz val="12"/>
      <color theme="1"/>
      <name val="Arial"/>
      <family val="2"/>
      <charset val="177"/>
      <scheme val="minor"/>
    </font>
    <font>
      <sz val="11"/>
      <color rgb="FF00B0F0"/>
      <name val="Arial"/>
      <family val="2"/>
      <scheme val="minor"/>
    </font>
    <font>
      <sz val="16"/>
      <color theme="1"/>
      <name val="Arial"/>
      <family val="2"/>
      <scheme val="minor"/>
    </font>
    <font>
      <sz val="16"/>
      <color rgb="FF00B0F0"/>
      <name val="Arial"/>
      <family val="2"/>
      <scheme val="minor"/>
    </font>
    <font>
      <u/>
      <sz val="11"/>
      <color rgb="FFFF0000"/>
      <name val="Arial"/>
      <family val="2"/>
      <scheme val="minor"/>
    </font>
    <font>
      <b/>
      <sz val="11"/>
      <color rgb="FFFF0000"/>
      <name val="Arial"/>
      <family val="2"/>
      <scheme val="minor"/>
    </font>
    <font>
      <sz val="11"/>
      <color rgb="FFFF0000"/>
      <name val="Arial"/>
      <family val="2"/>
      <scheme val="minor"/>
    </font>
    <font>
      <b/>
      <sz val="12"/>
      <color rgb="FFFF0000"/>
      <name val="Calibri"/>
      <family val="2"/>
    </font>
    <font>
      <u/>
      <sz val="12"/>
      <color rgb="FFFF0000"/>
      <name val="Arial"/>
      <family val="2"/>
      <scheme val="minor"/>
    </font>
    <font>
      <sz val="12"/>
      <color rgb="FFFF0000"/>
      <name val="Arial"/>
      <family val="2"/>
      <scheme val="minor"/>
    </font>
    <font>
      <sz val="12"/>
      <color rgb="FFFF0000"/>
      <name val="Calibri"/>
      <family val="2"/>
    </font>
    <font>
      <u/>
      <sz val="12"/>
      <color rgb="FFFF0000"/>
      <name val="Calibri"/>
      <family val="2"/>
    </font>
    <font>
      <sz val="18"/>
      <color rgb="FFFF0000"/>
      <name val="Arial"/>
      <family val="2"/>
    </font>
    <font>
      <b/>
      <sz val="12"/>
      <name val="David"/>
      <family val="2"/>
    </font>
    <font>
      <b/>
      <sz val="11"/>
      <color rgb="FFFF0000"/>
      <name val="David"/>
      <family val="2"/>
    </font>
    <font>
      <sz val="11"/>
      <color rgb="FFFF0000"/>
      <name val="David"/>
      <family val="2"/>
    </font>
    <font>
      <sz val="9"/>
      <name val="David"/>
      <family val="2"/>
    </font>
    <font>
      <sz val="12"/>
      <name val="David"/>
      <family val="2"/>
    </font>
    <font>
      <sz val="8"/>
      <name val="David"/>
      <family val="2"/>
    </font>
    <font>
      <b/>
      <sz val="12"/>
      <color rgb="FFFF0000"/>
      <name val="Arial"/>
      <family val="2"/>
      <scheme val="minor"/>
    </font>
    <font>
      <b/>
      <u/>
      <sz val="24"/>
      <color theme="1"/>
      <name val="Arial"/>
      <family val="2"/>
      <scheme val="minor"/>
    </font>
    <font>
      <sz val="16"/>
      <color rgb="FF000000"/>
      <name val="Calibri"/>
      <family val="2"/>
    </font>
    <font>
      <b/>
      <u/>
      <sz val="11"/>
      <color rgb="FFFF0000"/>
      <name val="Arial"/>
      <family val="2"/>
      <scheme val="minor"/>
    </font>
    <font>
      <sz val="8"/>
      <color theme="1"/>
      <name val="Arial"/>
      <family val="2"/>
      <scheme val="minor"/>
    </font>
    <font>
      <u/>
      <sz val="8"/>
      <color rgb="FFFF0000"/>
      <name val="Arial"/>
      <family val="2"/>
      <scheme val="minor"/>
    </font>
    <font>
      <sz val="8"/>
      <color rgb="FFFF0000"/>
      <name val="Arial"/>
      <family val="2"/>
      <scheme val="minor"/>
    </font>
    <font>
      <b/>
      <sz val="8"/>
      <color rgb="FFFF0000"/>
      <name val="Arial"/>
      <family val="2"/>
      <scheme val="minor"/>
    </font>
    <font>
      <sz val="12"/>
      <color rgb="FF0070C0"/>
      <name val="Arial"/>
      <family val="2"/>
      <scheme val="minor"/>
    </font>
    <font>
      <sz val="14"/>
      <color theme="1"/>
      <name val="Arial"/>
      <family val="2"/>
      <scheme val="minor"/>
    </font>
    <font>
      <sz val="20"/>
      <color theme="1"/>
      <name val="Arial"/>
      <family val="2"/>
      <scheme val="minor"/>
    </font>
    <font>
      <sz val="11"/>
      <color rgb="FF002060"/>
      <name val="Arial"/>
      <family val="2"/>
      <scheme val="minor"/>
    </font>
    <font>
      <b/>
      <sz val="11"/>
      <color rgb="FF002060"/>
      <name val="Arial"/>
      <family val="2"/>
      <scheme val="minor"/>
    </font>
    <font>
      <sz val="18"/>
      <color theme="1"/>
      <name val="Arial"/>
      <family val="2"/>
      <scheme val="minor"/>
    </font>
    <font>
      <sz val="16"/>
      <color rgb="FF00B050"/>
      <name val="Arial"/>
      <family val="2"/>
      <scheme val="minor"/>
    </font>
    <font>
      <sz val="18"/>
      <color rgb="FFFF0000"/>
      <name val="Arial"/>
      <family val="2"/>
      <scheme val="minor"/>
    </font>
    <font>
      <b/>
      <u/>
      <sz val="18"/>
      <color theme="1"/>
      <name val="Arial"/>
      <family val="2"/>
      <scheme val="minor"/>
    </font>
    <font>
      <b/>
      <u/>
      <sz val="72"/>
      <color theme="1"/>
      <name val="Arial"/>
      <family val="2"/>
      <scheme val="minor"/>
    </font>
    <font>
      <b/>
      <u/>
      <sz val="14"/>
      <color theme="1"/>
      <name val="Arial"/>
      <family val="2"/>
      <scheme val="minor"/>
    </font>
    <font>
      <sz val="14"/>
      <color rgb="FF00B0F0"/>
      <name val="Arial"/>
      <family val="2"/>
      <scheme val="minor"/>
    </font>
    <font>
      <sz val="24"/>
      <color theme="1"/>
      <name val="Arial"/>
      <family val="2"/>
      <scheme val="minor"/>
    </font>
  </fonts>
  <fills count="10">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s>
  <borders count="18">
    <border>
      <left/>
      <right/>
      <top/>
      <bottom/>
      <diagonal/>
    </border>
    <border>
      <left/>
      <right/>
      <top/>
      <bottom style="thick">
        <color theme="4"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B05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44" fontId="1" fillId="0" borderId="0" applyFont="0" applyFill="0" applyBorder="0" applyAlignment="0" applyProtection="0"/>
  </cellStyleXfs>
  <cellXfs count="270">
    <xf numFmtId="0" fontId="0" fillId="0" borderId="0" xfId="0"/>
    <xf numFmtId="8" fontId="0" fillId="0" borderId="0" xfId="0" applyNumberFormat="1"/>
    <xf numFmtId="3" fontId="0" fillId="0" borderId="0" xfId="0" applyNumberFormat="1"/>
    <xf numFmtId="0" fontId="3" fillId="0" borderId="0" xfId="0" applyFont="1"/>
    <xf numFmtId="10" fontId="0" fillId="0" borderId="0" xfId="0" applyNumberFormat="1"/>
    <xf numFmtId="10" fontId="0" fillId="0" borderId="0" xfId="2" applyNumberFormat="1" applyFont="1"/>
    <xf numFmtId="1" fontId="0" fillId="0" borderId="0" xfId="0" applyNumberFormat="1"/>
    <xf numFmtId="164" fontId="0" fillId="0" borderId="0" xfId="0" applyNumberFormat="1"/>
    <xf numFmtId="164" fontId="4" fillId="0" borderId="0" xfId="0" applyNumberFormat="1" applyFont="1"/>
    <xf numFmtId="0" fontId="0" fillId="0" borderId="0" xfId="0" applyAlignment="1">
      <alignment horizontal="center" vertical="center"/>
    </xf>
    <xf numFmtId="0" fontId="0" fillId="0" borderId="2" xfId="0" applyBorder="1"/>
    <xf numFmtId="0" fontId="0" fillId="0" borderId="3" xfId="0" applyBorder="1"/>
    <xf numFmtId="0" fontId="0" fillId="0" borderId="4" xfId="0" applyBorder="1"/>
    <xf numFmtId="0" fontId="5" fillId="0" borderId="5" xfId="0" applyFont="1" applyBorder="1"/>
    <xf numFmtId="0" fontId="5" fillId="0" borderId="0" xfId="0" applyFont="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10" fontId="7" fillId="0" borderId="0" xfId="0" applyNumberFormat="1" applyFont="1"/>
    <xf numFmtId="0" fontId="7" fillId="0" borderId="0" xfId="0" applyFont="1"/>
    <xf numFmtId="0" fontId="8" fillId="0" borderId="0" xfId="0" applyFont="1"/>
    <xf numFmtId="3" fontId="8" fillId="0" borderId="0" xfId="0" applyNumberFormat="1" applyFont="1"/>
    <xf numFmtId="10" fontId="8" fillId="0" borderId="0" xfId="0" applyNumberFormat="1" applyFont="1"/>
    <xf numFmtId="0" fontId="8" fillId="0" borderId="0" xfId="0" applyFont="1" applyAlignment="1">
      <alignment horizontal="center"/>
    </xf>
    <xf numFmtId="10" fontId="9" fillId="3" borderId="0" xfId="0" applyNumberFormat="1" applyFont="1" applyFill="1"/>
    <xf numFmtId="10" fontId="8" fillId="0" borderId="0" xfId="0" applyNumberFormat="1" applyFont="1" applyAlignment="1">
      <alignment horizontal="center"/>
    </xf>
    <xf numFmtId="2" fontId="8" fillId="0" borderId="0" xfId="0" applyNumberFormat="1" applyFont="1"/>
    <xf numFmtId="0" fontId="10" fillId="0" borderId="0" xfId="0" applyFont="1"/>
    <xf numFmtId="10" fontId="10" fillId="0" borderId="0" xfId="0" applyNumberFormat="1" applyFont="1" applyAlignment="1">
      <alignment horizontal="right"/>
    </xf>
    <xf numFmtId="166" fontId="10" fillId="0" borderId="0" xfId="0" applyNumberFormat="1" applyFont="1" applyAlignment="1">
      <alignment horizontal="center"/>
    </xf>
    <xf numFmtId="0" fontId="8" fillId="0" borderId="0" xfId="0" applyFont="1" applyAlignment="1">
      <alignment horizontal="right"/>
    </xf>
    <xf numFmtId="0" fontId="2" fillId="3" borderId="10" xfId="3" applyFill="1" applyBorder="1"/>
    <xf numFmtId="167" fontId="8" fillId="0" borderId="0" xfId="0" applyNumberFormat="1" applyFont="1"/>
    <xf numFmtId="0" fontId="8" fillId="0" borderId="11" xfId="0" applyFont="1" applyBorder="1"/>
    <xf numFmtId="167" fontId="8" fillId="0" borderId="11" xfId="0" applyNumberFormat="1" applyFont="1" applyBorder="1"/>
    <xf numFmtId="43" fontId="8" fillId="0" borderId="0" xfId="1" applyFont="1"/>
    <xf numFmtId="0" fontId="8" fillId="3" borderId="0" xfId="0" applyFont="1" applyFill="1" applyAlignment="1">
      <alignment wrapText="1"/>
    </xf>
    <xf numFmtId="168" fontId="6" fillId="3" borderId="0" xfId="0" applyNumberFormat="1" applyFont="1" applyFill="1"/>
    <xf numFmtId="3" fontId="4" fillId="0" borderId="0" xfId="0" applyNumberFormat="1" applyFont="1"/>
    <xf numFmtId="8" fontId="4" fillId="0" borderId="0" xfId="0" applyNumberFormat="1" applyFont="1"/>
    <xf numFmtId="9" fontId="0" fillId="0" borderId="0" xfId="0" applyNumberFormat="1"/>
    <xf numFmtId="8" fontId="4" fillId="3" borderId="0" xfId="0" applyNumberFormat="1" applyFont="1" applyFill="1"/>
    <xf numFmtId="10" fontId="0" fillId="3" borderId="0" xfId="0" applyNumberFormat="1" applyFill="1"/>
    <xf numFmtId="8" fontId="0" fillId="3" borderId="0" xfId="0" applyNumberFormat="1" applyFill="1"/>
    <xf numFmtId="9" fontId="0" fillId="0" borderId="0" xfId="2" applyFont="1"/>
    <xf numFmtId="43" fontId="0" fillId="0" borderId="0" xfId="1" applyFont="1"/>
    <xf numFmtId="169" fontId="0" fillId="0" borderId="0" xfId="1" applyNumberFormat="1" applyFont="1"/>
    <xf numFmtId="169" fontId="0" fillId="3" borderId="0" xfId="1" applyNumberFormat="1" applyFont="1" applyFill="1"/>
    <xf numFmtId="170" fontId="0" fillId="0" borderId="0" xfId="2" applyNumberFormat="1" applyFont="1"/>
    <xf numFmtId="0" fontId="0" fillId="3" borderId="0" xfId="0" applyFill="1"/>
    <xf numFmtId="10" fontId="0" fillId="3" borderId="0" xfId="2" applyNumberFormat="1" applyFont="1" applyFill="1"/>
    <xf numFmtId="169" fontId="7" fillId="0" borderId="0" xfId="0" applyNumberFormat="1" applyFont="1"/>
    <xf numFmtId="168" fontId="7" fillId="0" borderId="0" xfId="0" applyNumberFormat="1" applyFont="1"/>
    <xf numFmtId="0" fontId="7" fillId="0" borderId="11" xfId="0" applyFont="1" applyBorder="1"/>
    <xf numFmtId="10" fontId="7" fillId="0" borderId="11" xfId="0" applyNumberFormat="1" applyFont="1" applyBorder="1"/>
    <xf numFmtId="0" fontId="7" fillId="5" borderId="0" xfId="0" applyFont="1" applyFill="1"/>
    <xf numFmtId="8" fontId="11" fillId="5" borderId="0" xfId="4" applyNumberFormat="1" applyFont="1" applyFill="1"/>
    <xf numFmtId="10" fontId="12" fillId="0" borderId="0" xfId="2" applyNumberFormat="1" applyFont="1"/>
    <xf numFmtId="4" fontId="0" fillId="0" borderId="0" xfId="0" applyNumberFormat="1"/>
    <xf numFmtId="6" fontId="1" fillId="0" borderId="0" xfId="0" applyNumberFormat="1" applyFont="1"/>
    <xf numFmtId="171" fontId="0" fillId="0" borderId="0" xfId="0" applyNumberFormat="1"/>
    <xf numFmtId="10" fontId="11" fillId="5" borderId="0" xfId="2" applyNumberFormat="1" applyFont="1" applyFill="1"/>
    <xf numFmtId="0" fontId="13" fillId="0" borderId="0" xfId="0" applyFont="1"/>
    <xf numFmtId="0" fontId="0" fillId="0" borderId="0" xfId="0" applyAlignment="1">
      <alignment vertical="center"/>
    </xf>
    <xf numFmtId="0" fontId="13" fillId="0" borderId="0" xfId="0" applyFont="1" applyAlignment="1">
      <alignment horizontal="center" vertical="center"/>
    </xf>
    <xf numFmtId="10" fontId="0" fillId="0" borderId="0" xfId="0" applyNumberFormat="1" applyAlignment="1">
      <alignment horizontal="center" vertical="center"/>
    </xf>
    <xf numFmtId="8" fontId="0" fillId="0" borderId="0" xfId="0" applyNumberFormat="1" applyAlignment="1">
      <alignment horizontal="center" vertical="center"/>
    </xf>
    <xf numFmtId="0" fontId="3" fillId="0" borderId="0" xfId="0" applyFont="1" applyAlignment="1">
      <alignment horizontal="center" vertical="center"/>
    </xf>
    <xf numFmtId="3" fontId="0" fillId="0" borderId="0" xfId="0" applyNumberFormat="1" applyAlignment="1">
      <alignment horizontal="center" vertical="center"/>
    </xf>
    <xf numFmtId="10" fontId="0" fillId="0" borderId="0" xfId="2" applyNumberFormat="1" applyFont="1" applyAlignment="1">
      <alignment horizontal="center" vertical="center"/>
    </xf>
    <xf numFmtId="8" fontId="4" fillId="0" borderId="0" xfId="0" applyNumberFormat="1" applyFont="1" applyAlignment="1">
      <alignment horizontal="center" vertical="center"/>
    </xf>
    <xf numFmtId="9" fontId="0" fillId="0" borderId="0" xfId="0" applyNumberFormat="1" applyAlignment="1">
      <alignment horizontal="center" vertical="center"/>
    </xf>
    <xf numFmtId="8" fontId="4" fillId="3" borderId="0" xfId="0" applyNumberFormat="1" applyFont="1" applyFill="1" applyAlignment="1">
      <alignment horizontal="center" vertical="center"/>
    </xf>
    <xf numFmtId="169" fontId="4" fillId="0" borderId="0" xfId="1" applyNumberFormat="1" applyFont="1" applyAlignment="1">
      <alignment horizontal="center" vertical="center"/>
    </xf>
    <xf numFmtId="169" fontId="0" fillId="0" borderId="0" xfId="1" applyNumberFormat="1" applyFont="1" applyAlignment="1">
      <alignment horizontal="center" vertical="center"/>
    </xf>
    <xf numFmtId="170" fontId="0" fillId="0" borderId="0" xfId="0" applyNumberFormat="1" applyAlignment="1">
      <alignment horizontal="center" vertical="center"/>
    </xf>
    <xf numFmtId="6" fontId="0" fillId="3" borderId="0" xfId="0" applyNumberFormat="1" applyFill="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10" fontId="15" fillId="0" borderId="0" xfId="0" applyNumberFormat="1" applyFont="1" applyAlignment="1">
      <alignment horizontal="center" vertical="center"/>
    </xf>
    <xf numFmtId="10" fontId="14" fillId="0" borderId="0" xfId="0" applyNumberFormat="1" applyFont="1" applyAlignment="1">
      <alignment horizontal="center" vertical="center"/>
    </xf>
    <xf numFmtId="0" fontId="0" fillId="3" borderId="0" xfId="0" applyFill="1" applyAlignment="1">
      <alignment horizontal="center" vertical="center"/>
    </xf>
    <xf numFmtId="2" fontId="0" fillId="0" borderId="0" xfId="0" applyNumberFormat="1" applyAlignment="1">
      <alignment horizontal="center" vertical="center"/>
    </xf>
    <xf numFmtId="0" fontId="0" fillId="3" borderId="12" xfId="0" applyFill="1" applyBorder="1" applyAlignment="1">
      <alignment horizontal="center" vertical="center"/>
    </xf>
    <xf numFmtId="174" fontId="4" fillId="0" borderId="0" xfId="0" applyNumberFormat="1" applyFont="1" applyAlignment="1">
      <alignment horizontal="center" vertical="center"/>
    </xf>
    <xf numFmtId="175" fontId="0" fillId="0" borderId="0" xfId="2" applyNumberFormat="1" applyFont="1" applyAlignment="1">
      <alignment horizontal="center" vertical="center"/>
    </xf>
    <xf numFmtId="10" fontId="0" fillId="3" borderId="12" xfId="2" applyNumberFormat="1" applyFont="1" applyFill="1" applyBorder="1" applyAlignment="1">
      <alignment horizontal="center" vertical="center"/>
    </xf>
    <xf numFmtId="0" fontId="16" fillId="0" borderId="0" xfId="0" applyFont="1" applyAlignment="1">
      <alignment horizontal="center" vertical="center"/>
    </xf>
    <xf numFmtId="3" fontId="17" fillId="0" borderId="0" xfId="0" applyNumberFormat="1" applyFont="1" applyAlignment="1">
      <alignment horizontal="center" vertical="center"/>
    </xf>
    <xf numFmtId="0" fontId="18" fillId="0" borderId="0" xfId="0" applyFont="1" applyAlignment="1">
      <alignment horizontal="center" vertical="center"/>
    </xf>
    <xf numFmtId="3" fontId="18" fillId="0" borderId="0" xfId="0" applyNumberFormat="1" applyFont="1" applyAlignment="1">
      <alignment horizontal="center" vertical="center"/>
    </xf>
    <xf numFmtId="8" fontId="17" fillId="0" borderId="0" xfId="0" applyNumberFormat="1" applyFont="1" applyAlignment="1">
      <alignment horizontal="center" vertical="center"/>
    </xf>
    <xf numFmtId="8" fontId="18" fillId="0" borderId="0" xfId="0" applyNumberFormat="1" applyFont="1" applyAlignment="1">
      <alignment horizontal="center" vertical="center"/>
    </xf>
    <xf numFmtId="0" fontId="18" fillId="0" borderId="0" xfId="0" applyFont="1"/>
    <xf numFmtId="0" fontId="0" fillId="3" borderId="13" xfId="0" applyFill="1" applyBorder="1"/>
    <xf numFmtId="0" fontId="0" fillId="3" borderId="14" xfId="0" applyFill="1" applyBorder="1"/>
    <xf numFmtId="8" fontId="0" fillId="3" borderId="15" xfId="0" applyNumberFormat="1" applyFill="1" applyBorder="1"/>
    <xf numFmtId="9" fontId="18" fillId="0" borderId="0" xfId="0" applyNumberFormat="1" applyFont="1" applyAlignment="1">
      <alignment horizontal="center" vertical="center"/>
    </xf>
    <xf numFmtId="10" fontId="18" fillId="0" borderId="0" xfId="2" applyNumberFormat="1" applyFont="1" applyAlignment="1">
      <alignment horizontal="center" vertical="center"/>
    </xf>
    <xf numFmtId="10" fontId="17" fillId="0" borderId="0" xfId="2" applyNumberFormat="1" applyFont="1" applyAlignment="1">
      <alignment horizontal="center" vertical="center"/>
    </xf>
    <xf numFmtId="10" fontId="18" fillId="0" borderId="0" xfId="0" applyNumberFormat="1" applyFont="1" applyAlignment="1">
      <alignment horizontal="center" vertical="center"/>
    </xf>
    <xf numFmtId="10" fontId="17" fillId="0" borderId="0" xfId="2" applyNumberFormat="1" applyFont="1" applyFill="1" applyAlignment="1">
      <alignment horizontal="center" vertical="center"/>
    </xf>
    <xf numFmtId="175" fontId="17" fillId="0" borderId="0" xfId="2" applyNumberFormat="1" applyFont="1" applyAlignment="1">
      <alignment horizontal="center" vertical="center"/>
    </xf>
    <xf numFmtId="10" fontId="21" fillId="0" borderId="0" xfId="0" applyNumberFormat="1" applyFont="1"/>
    <xf numFmtId="0" fontId="21" fillId="0" borderId="0" xfId="0" applyFont="1" applyAlignment="1">
      <alignment horizontal="center"/>
    </xf>
    <xf numFmtId="0" fontId="21" fillId="0" borderId="0" xfId="0" applyFont="1"/>
    <xf numFmtId="0" fontId="26" fillId="0" borderId="0" xfId="0" applyFont="1" applyAlignment="1">
      <alignment horizontal="center"/>
    </xf>
    <xf numFmtId="0" fontId="27" fillId="0" borderId="0" xfId="0" applyFont="1"/>
    <xf numFmtId="0" fontId="27" fillId="0" borderId="0" xfId="0" applyFont="1" applyAlignment="1">
      <alignment horizontal="center"/>
    </xf>
    <xf numFmtId="3" fontId="27" fillId="0" borderId="0" xfId="0" applyNumberFormat="1" applyFont="1" applyAlignment="1">
      <alignment horizontal="center"/>
    </xf>
    <xf numFmtId="9" fontId="27" fillId="0" borderId="0" xfId="0" applyNumberFormat="1" applyFont="1"/>
    <xf numFmtId="10" fontId="27" fillId="0" borderId="0" xfId="0" applyNumberFormat="1" applyFont="1" applyAlignment="1">
      <alignment horizontal="center"/>
    </xf>
    <xf numFmtId="172" fontId="27" fillId="0" borderId="0" xfId="2" applyNumberFormat="1" applyFont="1"/>
    <xf numFmtId="10" fontId="27" fillId="0" borderId="0" xfId="0" applyNumberFormat="1" applyFont="1"/>
    <xf numFmtId="8" fontId="27" fillId="0" borderId="0" xfId="0" applyNumberFormat="1" applyFont="1"/>
    <xf numFmtId="3" fontId="26" fillId="0" borderId="0" xfId="0" applyNumberFormat="1" applyFont="1" applyAlignment="1">
      <alignment horizontal="center"/>
    </xf>
    <xf numFmtId="173" fontId="27" fillId="0" borderId="0" xfId="0" applyNumberFormat="1" applyFont="1"/>
    <xf numFmtId="164" fontId="27" fillId="0" borderId="0" xfId="0" applyNumberFormat="1" applyFont="1"/>
    <xf numFmtId="0" fontId="28" fillId="0" borderId="0" xfId="0" applyFont="1" applyAlignment="1">
      <alignment horizontal="right" vertical="top" wrapText="1"/>
    </xf>
    <xf numFmtId="8" fontId="18" fillId="0" borderId="0" xfId="0" applyNumberFormat="1" applyFont="1"/>
    <xf numFmtId="0" fontId="24" fillId="0" borderId="0" xfId="0" applyFont="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8" fontId="28" fillId="0" borderId="0" xfId="0" applyNumberFormat="1" applyFont="1" applyAlignment="1">
      <alignment horizontal="right" vertical="top" wrapText="1"/>
    </xf>
    <xf numFmtId="0" fontId="32" fillId="0" borderId="0" xfId="0" applyFont="1"/>
    <xf numFmtId="0" fontId="33" fillId="0" borderId="0" xfId="0" applyFont="1"/>
    <xf numFmtId="0" fontId="33" fillId="3" borderId="0" xfId="0" applyFont="1" applyFill="1"/>
    <xf numFmtId="10" fontId="8" fillId="0" borderId="0" xfId="2" applyNumberFormat="1" applyFont="1"/>
    <xf numFmtId="0" fontId="6" fillId="0" borderId="0" xfId="0" applyFont="1" applyAlignment="1">
      <alignment horizontal="right"/>
    </xf>
    <xf numFmtId="0" fontId="8" fillId="3" borderId="0" xfId="0" applyFont="1" applyFill="1"/>
    <xf numFmtId="169" fontId="6" fillId="3" borderId="0" xfId="1" applyNumberFormat="1" applyFont="1" applyFill="1" applyAlignment="1">
      <alignment horizontal="right"/>
    </xf>
    <xf numFmtId="175" fontId="8" fillId="0" borderId="0" xfId="2" applyNumberFormat="1" applyFont="1"/>
    <xf numFmtId="167" fontId="1" fillId="0" borderId="0" xfId="4" applyNumberFormat="1" applyFont="1"/>
    <xf numFmtId="0" fontId="8" fillId="2" borderId="0" xfId="0" applyFont="1" applyFill="1"/>
    <xf numFmtId="167" fontId="1" fillId="2" borderId="0" xfId="4" applyNumberFormat="1" applyFont="1" applyFill="1"/>
    <xf numFmtId="0" fontId="0" fillId="2" borderId="0" xfId="0" applyFill="1"/>
    <xf numFmtId="8" fontId="11" fillId="2" borderId="0" xfId="0" applyNumberFormat="1" applyFont="1" applyFill="1"/>
    <xf numFmtId="0" fontId="32" fillId="8" borderId="0" xfId="0" applyFont="1" applyFill="1"/>
    <xf numFmtId="0" fontId="0" fillId="8" borderId="0" xfId="0" applyFill="1"/>
    <xf numFmtId="170" fontId="0" fillId="0" borderId="0" xfId="0" applyNumberFormat="1"/>
    <xf numFmtId="10" fontId="13" fillId="0" borderId="12" xfId="2" applyNumberFormat="1" applyFont="1" applyBorder="1"/>
    <xf numFmtId="8" fontId="0" fillId="3" borderId="12" xfId="0" applyNumberFormat="1" applyFill="1" applyBorder="1" applyAlignment="1">
      <alignment horizontal="center" vertical="center"/>
    </xf>
    <xf numFmtId="8" fontId="0" fillId="7" borderId="12" xfId="0" applyNumberFormat="1" applyFill="1" applyBorder="1" applyAlignment="1">
      <alignment horizontal="center" vertical="center"/>
    </xf>
    <xf numFmtId="8" fontId="0" fillId="0" borderId="12" xfId="0" applyNumberFormat="1" applyBorder="1" applyAlignment="1">
      <alignment horizontal="center" vertical="center"/>
    </xf>
    <xf numFmtId="0" fontId="5" fillId="3" borderId="0" xfId="0" applyFont="1" applyFill="1"/>
    <xf numFmtId="9" fontId="18" fillId="0" borderId="0" xfId="0" applyNumberFormat="1" applyFont="1"/>
    <xf numFmtId="10" fontId="18" fillId="0" borderId="12" xfId="2" applyNumberFormat="1" applyFont="1" applyBorder="1"/>
    <xf numFmtId="0" fontId="34" fillId="0" borderId="0" xfId="0" applyFont="1"/>
    <xf numFmtId="8" fontId="18" fillId="0" borderId="12" xfId="0" applyNumberFormat="1" applyFont="1" applyBorder="1"/>
    <xf numFmtId="8" fontId="0" fillId="3" borderId="12" xfId="0" applyNumberFormat="1" applyFill="1" applyBorder="1"/>
    <xf numFmtId="8" fontId="18" fillId="3" borderId="12" xfId="0" applyNumberFormat="1" applyFont="1" applyFill="1" applyBorder="1"/>
    <xf numFmtId="0" fontId="35" fillId="0" borderId="0" xfId="0" applyFont="1"/>
    <xf numFmtId="0" fontId="37" fillId="0" borderId="0" xfId="0" applyFont="1" applyAlignment="1">
      <alignment horizontal="center" vertical="center"/>
    </xf>
    <xf numFmtId="8" fontId="37" fillId="0" borderId="0" xfId="0" applyNumberFormat="1" applyFont="1" applyAlignment="1">
      <alignment horizontal="center" vertical="center"/>
    </xf>
    <xf numFmtId="168" fontId="0" fillId="0" borderId="0" xfId="2" applyNumberFormat="1" applyFont="1"/>
    <xf numFmtId="168" fontId="14" fillId="0" borderId="12" xfId="2" applyNumberFormat="1" applyFont="1" applyBorder="1" applyAlignment="1">
      <alignment horizontal="center" vertical="center"/>
    </xf>
    <xf numFmtId="0" fontId="39" fillId="0" borderId="0" xfId="0" applyFont="1" applyAlignment="1">
      <alignment wrapText="1"/>
    </xf>
    <xf numFmtId="8" fontId="39" fillId="0" borderId="12" xfId="0" applyNumberFormat="1" applyFont="1" applyBorder="1"/>
    <xf numFmtId="0" fontId="21" fillId="0" borderId="0" xfId="0" applyFont="1" applyAlignment="1">
      <alignment wrapText="1"/>
    </xf>
    <xf numFmtId="8" fontId="21" fillId="0" borderId="12" xfId="0" applyNumberFormat="1" applyFont="1" applyBorder="1"/>
    <xf numFmtId="0" fontId="7" fillId="0" borderId="0" xfId="0" applyFont="1" applyAlignment="1">
      <alignment vertical="center"/>
    </xf>
    <xf numFmtId="8" fontId="7" fillId="0" borderId="12" xfId="0" applyNumberFormat="1" applyFont="1" applyBorder="1" applyAlignment="1">
      <alignment horizontal="center" vertical="center"/>
    </xf>
    <xf numFmtId="0" fontId="0" fillId="0" borderId="0" xfId="0" applyAlignment="1">
      <alignment readingOrder="2"/>
    </xf>
    <xf numFmtId="0" fontId="37" fillId="0" borderId="0" xfId="0" applyFont="1" applyAlignment="1">
      <alignment horizontal="center" vertical="center" readingOrder="2"/>
    </xf>
    <xf numFmtId="0" fontId="0" fillId="6" borderId="0" xfId="0" applyFill="1" applyAlignment="1">
      <alignment horizontal="center" vertical="center"/>
    </xf>
    <xf numFmtId="177" fontId="0" fillId="0" borderId="0" xfId="0" applyNumberFormat="1" applyAlignment="1">
      <alignment horizontal="center" vertical="center"/>
    </xf>
    <xf numFmtId="0" fontId="0" fillId="0" borderId="12" xfId="0" applyBorder="1" applyAlignment="1">
      <alignment horizontal="center" vertical="center"/>
    </xf>
    <xf numFmtId="10" fontId="13" fillId="0" borderId="12" xfId="2" applyNumberFormat="1" applyFont="1" applyBorder="1" applyAlignment="1">
      <alignment horizontal="center" vertical="center"/>
    </xf>
    <xf numFmtId="10" fontId="4" fillId="0" borderId="0" xfId="2" applyNumberFormat="1" applyFont="1" applyFill="1" applyAlignment="1">
      <alignment horizontal="center" vertical="center"/>
    </xf>
    <xf numFmtId="0" fontId="5" fillId="0" borderId="0" xfId="0" applyFont="1" applyAlignment="1">
      <alignment horizontal="center" vertical="center"/>
    </xf>
    <xf numFmtId="10" fontId="0" fillId="0" borderId="12" xfId="0" applyNumberFormat="1" applyBorder="1" applyAlignment="1">
      <alignment horizontal="center" vertical="center"/>
    </xf>
    <xf numFmtId="10" fontId="0" fillId="0" borderId="12" xfId="0" applyNumberFormat="1" applyBorder="1"/>
    <xf numFmtId="10" fontId="0" fillId="3" borderId="12" xfId="2" applyNumberFormat="1" applyFont="1" applyFill="1" applyBorder="1"/>
    <xf numFmtId="10" fontId="0" fillId="0" borderId="12" xfId="2" applyNumberFormat="1" applyFont="1" applyBorder="1" applyAlignment="1">
      <alignment horizontal="center" vertical="center"/>
    </xf>
    <xf numFmtId="10" fontId="13" fillId="0" borderId="0" xfId="2" applyNumberFormat="1" applyFont="1"/>
    <xf numFmtId="168" fontId="0" fillId="0" borderId="12" xfId="2" applyNumberFormat="1" applyFont="1" applyBorder="1" applyAlignment="1">
      <alignment horizontal="center" vertical="center"/>
    </xf>
    <xf numFmtId="0" fontId="7" fillId="0" borderId="0" xfId="0" applyFont="1" applyAlignment="1">
      <alignment horizontal="center" vertical="center"/>
    </xf>
    <xf numFmtId="0" fontId="40" fillId="0" borderId="0" xfId="0" applyFont="1"/>
    <xf numFmtId="0" fontId="40" fillId="0" borderId="0" xfId="0" applyFont="1" applyAlignment="1">
      <alignment horizontal="center" vertical="center"/>
    </xf>
    <xf numFmtId="8" fontId="40" fillId="0" borderId="0" xfId="0" applyNumberFormat="1" applyFont="1" applyAlignment="1">
      <alignment horizontal="center" vertical="center"/>
    </xf>
    <xf numFmtId="9" fontId="0" fillId="0" borderId="6" xfId="0" applyNumberFormat="1" applyBorder="1" applyAlignment="1">
      <alignment horizontal="center" vertical="center"/>
    </xf>
    <xf numFmtId="0" fontId="40" fillId="0" borderId="6" xfId="0" applyFont="1" applyBorder="1" applyAlignment="1">
      <alignment horizontal="center" vertical="center"/>
    </xf>
    <xf numFmtId="0" fontId="40" fillId="0" borderId="12" xfId="0" applyFont="1" applyBorder="1" applyAlignment="1">
      <alignment horizontal="center" vertical="center"/>
    </xf>
    <xf numFmtId="10" fontId="40" fillId="7" borderId="12" xfId="2" applyNumberFormat="1" applyFont="1" applyFill="1" applyBorder="1" applyAlignment="1">
      <alignment horizontal="center" vertical="center"/>
    </xf>
    <xf numFmtId="10" fontId="40" fillId="3" borderId="12" xfId="2" applyNumberFormat="1" applyFont="1" applyFill="1" applyBorder="1"/>
    <xf numFmtId="10" fontId="18" fillId="0" borderId="0" xfId="2" applyNumberFormat="1" applyFont="1" applyFill="1" applyAlignment="1">
      <alignment horizontal="center" vertical="center"/>
    </xf>
    <xf numFmtId="0" fontId="41" fillId="3" borderId="0" xfId="0" applyFont="1" applyFill="1"/>
    <xf numFmtId="0" fontId="5" fillId="0" borderId="6" xfId="0" applyFont="1" applyBorder="1"/>
    <xf numFmtId="43" fontId="0" fillId="0" borderId="12" xfId="1" applyFont="1" applyBorder="1"/>
    <xf numFmtId="0" fontId="0" fillId="0" borderId="12" xfId="0" applyBorder="1"/>
    <xf numFmtId="169" fontId="0" fillId="0" borderId="12" xfId="1" applyNumberFormat="1" applyFont="1" applyBorder="1"/>
    <xf numFmtId="169" fontId="0" fillId="3" borderId="12" xfId="1" applyNumberFormat="1" applyFont="1" applyFill="1" applyBorder="1"/>
    <xf numFmtId="176" fontId="11" fillId="3" borderId="12" xfId="0" applyNumberFormat="1" applyFont="1" applyFill="1" applyBorder="1"/>
    <xf numFmtId="10" fontId="0" fillId="0" borderId="12" xfId="2" applyNumberFormat="1" applyFont="1" applyBorder="1"/>
    <xf numFmtId="8" fontId="13" fillId="0" borderId="0" xfId="0" applyNumberFormat="1" applyFont="1" applyAlignment="1">
      <alignment horizontal="center" vertical="center"/>
    </xf>
    <xf numFmtId="0" fontId="0" fillId="0" borderId="11" xfId="0" applyBorder="1"/>
    <xf numFmtId="8" fontId="0" fillId="0" borderId="12" xfId="0" applyNumberFormat="1" applyBorder="1"/>
    <xf numFmtId="8" fontId="0" fillId="0" borderId="16" xfId="0" applyNumberFormat="1" applyBorder="1"/>
    <xf numFmtId="0" fontId="0" fillId="0" borderId="17" xfId="0" applyBorder="1"/>
    <xf numFmtId="8" fontId="0" fillId="0" borderId="13" xfId="0" applyNumberFormat="1" applyBorder="1"/>
    <xf numFmtId="8" fontId="0" fillId="0" borderId="15" xfId="0" applyNumberFormat="1" applyBorder="1"/>
    <xf numFmtId="0" fontId="14" fillId="0" borderId="12" xfId="0" applyFont="1" applyBorder="1" applyAlignment="1">
      <alignment horizontal="center" vertical="center"/>
    </xf>
    <xf numFmtId="168" fontId="14" fillId="0" borderId="0" xfId="2" applyNumberFormat="1" applyFont="1" applyBorder="1" applyAlignment="1">
      <alignment horizontal="center" vertical="center"/>
    </xf>
    <xf numFmtId="8" fontId="14" fillId="3" borderId="12" xfId="0" applyNumberFormat="1" applyFont="1" applyFill="1" applyBorder="1" applyAlignment="1">
      <alignment horizontal="center" vertical="center"/>
    </xf>
    <xf numFmtId="175" fontId="0" fillId="0" borderId="12" xfId="2" applyNumberFormat="1" applyFont="1" applyBorder="1" applyAlignment="1">
      <alignment horizontal="center" vertical="center"/>
    </xf>
    <xf numFmtId="0" fontId="0" fillId="0" borderId="0" xfId="0" applyAlignment="1">
      <alignment horizontal="center" vertical="center" readingOrder="2"/>
    </xf>
    <xf numFmtId="0" fontId="42" fillId="0" borderId="12" xfId="0" applyFont="1" applyBorder="1" applyAlignment="1">
      <alignment horizontal="center" vertical="center"/>
    </xf>
    <xf numFmtId="0" fontId="43" fillId="0" borderId="0" xfId="0" applyFont="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0" fillId="0" borderId="8" xfId="0" applyFont="1" applyBorder="1" applyAlignment="1">
      <alignment horizontal="center" vertical="center"/>
    </xf>
    <xf numFmtId="0" fontId="17" fillId="0" borderId="0" xfId="0" applyFont="1" applyAlignment="1">
      <alignment horizontal="center" vertical="center"/>
    </xf>
    <xf numFmtId="0" fontId="45" fillId="0" borderId="0" xfId="0" applyFont="1" applyAlignment="1">
      <alignment horizontal="center" vertical="center"/>
    </xf>
    <xf numFmtId="0" fontId="14" fillId="0" borderId="0" xfId="0" applyFont="1"/>
    <xf numFmtId="10" fontId="40" fillId="0" borderId="12" xfId="2" applyNumberFormat="1" applyFont="1" applyBorder="1" applyAlignment="1">
      <alignment horizontal="center" vertical="center"/>
    </xf>
    <xf numFmtId="0" fontId="46" fillId="0" borderId="0" xfId="0" applyFont="1" applyAlignment="1">
      <alignment horizontal="center" vertical="center"/>
    </xf>
    <xf numFmtId="0" fontId="44" fillId="0" borderId="0" xfId="0" applyFont="1"/>
    <xf numFmtId="0" fontId="47" fillId="0" borderId="0" xfId="0" applyFont="1" applyAlignment="1">
      <alignment horizontal="center" vertical="center"/>
    </xf>
    <xf numFmtId="9" fontId="20" fillId="0" borderId="0" xfId="0" applyNumberFormat="1" applyFont="1"/>
    <xf numFmtId="9" fontId="21" fillId="0" borderId="0" xfId="0" applyNumberFormat="1" applyFont="1"/>
    <xf numFmtId="43" fontId="21" fillId="0" borderId="0" xfId="0" applyNumberFormat="1" applyFont="1" applyAlignment="1">
      <alignment horizontal="center"/>
    </xf>
    <xf numFmtId="3" fontId="21" fillId="0" borderId="0" xfId="0" applyNumberFormat="1" applyFont="1"/>
    <xf numFmtId="0" fontId="22" fillId="0" borderId="0" xfId="0" applyFont="1"/>
    <xf numFmtId="4" fontId="22" fillId="0" borderId="0" xfId="0" applyNumberFormat="1" applyFont="1"/>
    <xf numFmtId="3" fontId="22" fillId="0" borderId="0" xfId="0" applyNumberFormat="1" applyFont="1"/>
    <xf numFmtId="10" fontId="22" fillId="0" borderId="0" xfId="0" applyNumberFormat="1" applyFont="1"/>
    <xf numFmtId="0" fontId="22" fillId="0" borderId="0" xfId="0" applyFont="1" applyAlignment="1">
      <alignment horizontal="center"/>
    </xf>
    <xf numFmtId="0" fontId="23" fillId="0" borderId="0" xfId="0" applyFont="1"/>
    <xf numFmtId="9" fontId="22" fillId="0" borderId="0" xfId="0" applyNumberFormat="1" applyFont="1"/>
    <xf numFmtId="165" fontId="22" fillId="0" borderId="0" xfId="0" applyNumberFormat="1" applyFont="1"/>
    <xf numFmtId="10" fontId="19" fillId="0" borderId="0" xfId="0" applyNumberFormat="1" applyFont="1"/>
    <xf numFmtId="0" fontId="19" fillId="0" borderId="0" xfId="0" applyFont="1" applyAlignment="1">
      <alignment horizontal="center"/>
    </xf>
    <xf numFmtId="0" fontId="36" fillId="0" borderId="0" xfId="0" applyFont="1" applyAlignment="1">
      <alignment horizontal="center" vertical="center"/>
    </xf>
    <xf numFmtId="9" fontId="37" fillId="0" borderId="0" xfId="0" applyNumberFormat="1" applyFont="1" applyAlignment="1">
      <alignment horizontal="center" vertical="center"/>
    </xf>
    <xf numFmtId="10" fontId="37" fillId="0" borderId="0" xfId="2" applyNumberFormat="1" applyFont="1" applyFill="1" applyAlignment="1">
      <alignment horizontal="center" vertical="center"/>
    </xf>
    <xf numFmtId="8" fontId="38" fillId="0" borderId="0" xfId="0" applyNumberFormat="1" applyFont="1" applyAlignment="1">
      <alignment horizontal="center" vertical="center"/>
    </xf>
    <xf numFmtId="43" fontId="27" fillId="0" borderId="0" xfId="1" applyFont="1" applyFill="1"/>
    <xf numFmtId="0" fontId="48" fillId="0" borderId="0" xfId="0" applyFont="1"/>
    <xf numFmtId="10" fontId="8" fillId="0" borderId="12" xfId="2" applyNumberFormat="1" applyFont="1" applyBorder="1"/>
    <xf numFmtId="10" fontId="8" fillId="3" borderId="12" xfId="0" applyNumberFormat="1" applyFont="1" applyFill="1" applyBorder="1"/>
    <xf numFmtId="0" fontId="18" fillId="0" borderId="0" xfId="0" applyFont="1" applyAlignment="1">
      <alignment horizontal="center"/>
    </xf>
    <xf numFmtId="10" fontId="18" fillId="0" borderId="0" xfId="0" applyNumberFormat="1" applyFont="1"/>
    <xf numFmtId="6" fontId="18" fillId="0" borderId="0" xfId="0" applyNumberFormat="1" applyFont="1"/>
    <xf numFmtId="165" fontId="31" fillId="0" borderId="0" xfId="0" applyNumberFormat="1" applyFont="1"/>
    <xf numFmtId="0" fontId="49" fillId="0" borderId="0" xfId="0" applyFont="1"/>
    <xf numFmtId="0" fontId="40" fillId="3" borderId="0" xfId="0" applyFont="1" applyFill="1"/>
    <xf numFmtId="0" fontId="50" fillId="0" borderId="0" xfId="0" applyFont="1"/>
    <xf numFmtId="8" fontId="0" fillId="8" borderId="0" xfId="0" applyNumberFormat="1" applyFill="1"/>
    <xf numFmtId="168" fontId="11" fillId="8" borderId="0" xfId="0" applyNumberFormat="1" applyFont="1" applyFill="1"/>
    <xf numFmtId="6" fontId="6" fillId="8" borderId="0" xfId="1" applyNumberFormat="1" applyFont="1" applyFill="1"/>
    <xf numFmtId="0" fontId="11" fillId="8" borderId="0" xfId="0" applyFont="1" applyFill="1"/>
    <xf numFmtId="168" fontId="0" fillId="0" borderId="12" xfId="2" applyNumberFormat="1" applyFont="1" applyBorder="1"/>
    <xf numFmtId="8" fontId="4" fillId="8" borderId="0" xfId="0" applyNumberFormat="1" applyFont="1" applyFill="1"/>
    <xf numFmtId="0" fontId="5" fillId="0" borderId="0" xfId="0" applyFont="1" applyAlignment="1">
      <alignment horizontal="center" vertical="center"/>
    </xf>
    <xf numFmtId="0" fontId="6" fillId="3" borderId="0" xfId="0" applyFont="1" applyFill="1" applyAlignment="1">
      <alignment horizontal="center"/>
    </xf>
    <xf numFmtId="0" fontId="4" fillId="4" borderId="0" xfId="0" applyFont="1" applyFill="1" applyAlignment="1">
      <alignment horizontal="center"/>
    </xf>
    <xf numFmtId="0" fontId="51" fillId="9" borderId="0" xfId="0" applyFont="1" applyFill="1" applyAlignment="1">
      <alignment horizontal="center" vertical="center"/>
    </xf>
    <xf numFmtId="0" fontId="0" fillId="0" borderId="0" xfId="0" applyAlignment="1">
      <alignment horizontal="center"/>
    </xf>
    <xf numFmtId="0" fontId="0" fillId="3" borderId="2" xfId="0" applyFill="1" applyBorder="1" applyAlignment="1">
      <alignment horizontal="center"/>
    </xf>
    <xf numFmtId="0" fontId="0" fillId="3" borderId="4" xfId="0" applyFill="1"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3" borderId="3" xfId="0" applyFill="1" applyBorder="1" applyAlignment="1">
      <alignment horizontal="center"/>
    </xf>
    <xf numFmtId="0" fontId="0" fillId="0" borderId="0" xfId="0" applyAlignment="1">
      <alignment horizontal="center" vertical="center"/>
    </xf>
    <xf numFmtId="0" fontId="0" fillId="0" borderId="0" xfId="0" applyAlignment="1">
      <alignment horizontal="right" vertical="top" wrapText="1"/>
    </xf>
    <xf numFmtId="0" fontId="0" fillId="0" borderId="0" xfId="0" applyAlignment="1">
      <alignment horizontal="right" vertical="top"/>
    </xf>
  </cellXfs>
  <cellStyles count="5">
    <cellStyle name="Comma" xfId="1" builtinId="3"/>
    <cellStyle name="Currency" xfId="4" builtinId="4"/>
    <cellStyle name="Normal" xfId="0" builtinId="0"/>
    <cellStyle name="Percent" xfId="2" builtinId="5"/>
    <cellStyle name="כותרת 2" xfId="3" builtin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2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32" Type="http://schemas.openxmlformats.org/officeDocument/2006/relationships/customXml" Target="../ink/ink2.xml"/><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customXml" Target="../ink/ink1.xml"/><Relationship Id="rId31" Type="http://schemas.openxmlformats.org/officeDocument/2006/relationships/image" Target="../media/image27.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2.png"/><Relationship Id="rId7" Type="http://schemas.openxmlformats.org/officeDocument/2006/relationships/image" Target="../media/image24.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6.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customXml" Target="../ink/ink3.xml"/><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9" Type="http://schemas.openxmlformats.org/officeDocument/2006/relationships/image" Target="../media/image63.png"/></Relationships>
</file>

<file path=xl/drawings/_rels/drawing6.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customXml" Target="../ink/ink4.xml"/><Relationship Id="rId18" Type="http://schemas.openxmlformats.org/officeDocument/2006/relationships/image" Target="../media/image78.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2" Type="http://schemas.openxmlformats.org/officeDocument/2006/relationships/image" Target="../media/image45.png"/><Relationship Id="rId29" Type="http://schemas.openxmlformats.org/officeDocument/2006/relationships/customXml" Target="../ink/ink7.xml"/><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32" Type="http://schemas.openxmlformats.org/officeDocument/2006/relationships/image" Target="../media/image85.png"/><Relationship Id="rId5" Type="http://schemas.openxmlformats.org/officeDocument/2006/relationships/image" Target="../media/image48.png"/><Relationship Id="rId15" Type="http://schemas.openxmlformats.org/officeDocument/2006/relationships/customXml" Target="../ink/ink5.xml"/><Relationship Id="rId28" Type="http://schemas.openxmlformats.org/officeDocument/2006/relationships/image" Target="../media/image83.png"/><Relationship Id="rId10" Type="http://schemas.openxmlformats.org/officeDocument/2006/relationships/image" Target="../media/image53.png"/><Relationship Id="rId19" Type="http://schemas.openxmlformats.org/officeDocument/2006/relationships/customXml" Target="../ink/ink6.xml"/><Relationship Id="rId31" Type="http://schemas.openxmlformats.org/officeDocument/2006/relationships/customXml" Target="../ink/ink8.xml"/><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6.png"/><Relationship Id="rId30"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xdr:from>
      <xdr:col>1</xdr:col>
      <xdr:colOff>426720</xdr:colOff>
      <xdr:row>3</xdr:row>
      <xdr:rowOff>89647</xdr:rowOff>
    </xdr:from>
    <xdr:to>
      <xdr:col>27</xdr:col>
      <xdr:colOff>304800</xdr:colOff>
      <xdr:row>350</xdr:row>
      <xdr:rowOff>0</xdr:rowOff>
    </xdr:to>
    <xdr:sp macro="" textlink="">
      <xdr:nvSpPr>
        <xdr:cNvPr id="2" name="תיבת טקסט 1">
          <a:extLst>
            <a:ext uri="{FF2B5EF4-FFF2-40B4-BE49-F238E27FC236}">
              <a16:creationId xmlns:a16="http://schemas.microsoft.com/office/drawing/2014/main" id="{DB2BBF87-76FF-2F6E-1713-99D02A6525E1}"/>
            </a:ext>
          </a:extLst>
        </xdr:cNvPr>
        <xdr:cNvSpPr txBox="1"/>
      </xdr:nvSpPr>
      <xdr:spPr>
        <a:xfrm>
          <a:off x="10997372259" y="627529"/>
          <a:ext cx="17359256" cy="6212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200">
              <a:solidFill>
                <a:sysClr val="windowText" lastClr="000000"/>
              </a:solidFill>
            </a:rPr>
            <a:t>יסודו</a:t>
          </a:r>
          <a:r>
            <a:rPr lang="he-IL" sz="3200" baseline="0">
              <a:solidFill>
                <a:sysClr val="windowText" lastClr="000000"/>
              </a:solidFill>
            </a:rPr>
            <a:t>ת המימון למנע"ס: רועי עידן</a:t>
          </a:r>
        </a:p>
        <a:p>
          <a:pPr algn="r" rtl="1"/>
          <a:r>
            <a:rPr lang="he-IL" sz="3200">
              <a:solidFill>
                <a:sysClr val="windowText" lastClr="000000"/>
              </a:solidFill>
            </a:rPr>
            <a:t>20 שאלות אמריקאיות</a:t>
          </a:r>
          <a:r>
            <a:rPr lang="he-IL" sz="3200" baseline="0">
              <a:solidFill>
                <a:sysClr val="windowText" lastClr="000000"/>
              </a:solidFill>
            </a:rPr>
            <a:t> </a:t>
          </a:r>
        </a:p>
        <a:p>
          <a:pPr algn="r" rtl="1"/>
          <a:r>
            <a:rPr lang="he-IL" sz="3200" baseline="0">
              <a:solidFill>
                <a:sysClr val="windowText" lastClr="000000"/>
              </a:solidFill>
            </a:rPr>
            <a:t>אסור מחשבון</a:t>
          </a:r>
        </a:p>
        <a:p>
          <a:pPr algn="r" rtl="1"/>
          <a:r>
            <a:rPr lang="he-IL" sz="3200" baseline="0">
              <a:solidFill>
                <a:sysClr val="windowText" lastClr="000000"/>
              </a:solidFill>
            </a:rPr>
            <a:t>לא מגישים את האקסל</a:t>
          </a:r>
        </a:p>
        <a:p>
          <a:pPr algn="r" rtl="1"/>
          <a:r>
            <a:rPr lang="he-IL" sz="3200" baseline="0">
              <a:solidFill>
                <a:sysClr val="windowText" lastClr="000000"/>
              </a:solidFill>
            </a:rPr>
            <a:t>אסור להיתקע על שאלות- אחרת לא תגיעו לשאלות האחרונות שהן אולי קלות מאוד</a:t>
          </a:r>
        </a:p>
        <a:p>
          <a:pPr algn="r" rtl="1"/>
          <a:r>
            <a:rPr lang="he-IL" sz="3200" baseline="0">
              <a:solidFill>
                <a:sysClr val="windowText" lastClr="000000"/>
              </a:solidFill>
            </a:rPr>
            <a:t>מצוקת זמן- תהיו יעילים </a:t>
          </a:r>
        </a:p>
        <a:p>
          <a:pPr algn="r" rtl="1"/>
          <a:r>
            <a:rPr lang="he-IL" sz="3200" baseline="0">
              <a:solidFill>
                <a:sysClr val="windowText" lastClr="000000"/>
              </a:solidFill>
            </a:rPr>
            <a:t>קבצי תרגול פרונטלי ברמה טובה</a:t>
          </a:r>
        </a:p>
        <a:p>
          <a:pPr algn="r" rtl="1"/>
          <a:endParaRPr lang="he-IL" sz="3200" baseline="0">
            <a:solidFill>
              <a:sysClr val="windowText" lastClr="000000"/>
            </a:solidFill>
          </a:endParaRPr>
        </a:p>
        <a:p>
          <a:pPr algn="r" rtl="1"/>
          <a:endParaRPr lang="he-IL" sz="3200" baseline="0">
            <a:solidFill>
              <a:sysClr val="windowText" lastClr="000000"/>
            </a:solidFill>
          </a:endParaRPr>
        </a:p>
        <a:p>
          <a:pPr algn="r" rtl="1"/>
          <a:r>
            <a:rPr lang="he-IL" sz="3200" baseline="0">
              <a:solidFill>
                <a:sysClr val="windowText" lastClr="000000"/>
              </a:solidFill>
            </a:rPr>
            <a:t>יש את השאלות הקבועות שמופיעות בכל מבחן....</a:t>
          </a:r>
        </a:p>
        <a:p>
          <a:pPr algn="r" rtl="1"/>
          <a:endParaRPr lang="he-IL" sz="3200" baseline="0">
            <a:solidFill>
              <a:sysClr val="windowText" lastClr="000000"/>
            </a:solidFill>
          </a:endParaRPr>
        </a:p>
        <a:p>
          <a:pPr algn="r" rtl="1"/>
          <a:r>
            <a:rPr lang="he-IL" sz="3200" baseline="0">
              <a:solidFill>
                <a:sysClr val="windowText" lastClr="000000"/>
              </a:solidFill>
            </a:rPr>
            <a:t>מבנה המבחן הכללי:</a:t>
          </a:r>
        </a:p>
        <a:p>
          <a:pPr algn="r" rtl="1"/>
          <a:r>
            <a:rPr lang="he-IL" sz="3200" baseline="0">
              <a:solidFill>
                <a:sysClr val="windowText" lastClr="000000"/>
              </a:solidFill>
            </a:rPr>
            <a:t>הפקדות משיכות שאלה או שתיים</a:t>
          </a:r>
          <a:endParaRPr lang="he-IL" sz="3200">
            <a:solidFill>
              <a:sysClr val="windowText" lastClr="000000"/>
            </a:solidFill>
          </a:endParaRPr>
        </a:p>
        <a:p>
          <a:pPr algn="r" rtl="1"/>
          <a:endParaRPr lang="he-IL" sz="3200">
            <a:solidFill>
              <a:sysClr val="windowText" lastClr="000000"/>
            </a:solidFill>
          </a:endParaRPr>
        </a:p>
        <a:p>
          <a:pPr algn="r" rtl="1"/>
          <a:r>
            <a:rPr lang="he-IL" sz="3200">
              <a:solidFill>
                <a:sysClr val="windowText" lastClr="000000"/>
              </a:solidFill>
            </a:rPr>
            <a:t>שאלה תיאורטית: בד"כ</a:t>
          </a:r>
          <a:r>
            <a:rPr lang="he-IL" sz="3200" baseline="0">
              <a:solidFill>
                <a:sysClr val="windowText" lastClr="000000"/>
              </a:solidFill>
            </a:rPr>
            <a:t> על סילוקין</a:t>
          </a:r>
        </a:p>
        <a:p>
          <a:pPr algn="r" rtl="1"/>
          <a:endParaRPr lang="he-IL" sz="3200" baseline="0">
            <a:solidFill>
              <a:sysClr val="windowText" lastClr="000000"/>
            </a:solidFill>
          </a:endParaRPr>
        </a:p>
        <a:p>
          <a:pPr algn="r" rtl="1"/>
          <a:r>
            <a:rPr lang="he-IL" sz="3200" baseline="0">
              <a:solidFill>
                <a:sysClr val="windowText" lastClr="000000"/>
              </a:solidFill>
            </a:rPr>
            <a:t>4-5 שאלות על לוחות סילוקין (כולל תיאורטי, כולל 2 הסוגים): קובץ התרגול הפרונטלי ממצה כמעט הכל</a:t>
          </a:r>
        </a:p>
        <a:p>
          <a:pPr algn="r" rtl="1"/>
          <a:endParaRPr lang="he-IL" sz="3200" baseline="0">
            <a:solidFill>
              <a:sysClr val="windowText" lastClr="000000"/>
            </a:solidFill>
          </a:endParaRPr>
        </a:p>
        <a:p>
          <a:pPr algn="r" rtl="1"/>
          <a:r>
            <a:rPr lang="he-IL" sz="3200" baseline="0">
              <a:solidFill>
                <a:sysClr val="windowText" lastClr="000000"/>
              </a:solidFill>
            </a:rPr>
            <a:t>הצמדות על 4-5 שאלות (לפחות 1 על סילוקין) </a:t>
          </a:r>
        </a:p>
        <a:p>
          <a:pPr algn="r" rtl="1"/>
          <a:endParaRPr lang="he-IL" sz="3200" baseline="0">
            <a:solidFill>
              <a:sysClr val="windowText" lastClr="000000"/>
            </a:solidFill>
          </a:endParaRPr>
        </a:p>
        <a:p>
          <a:pPr algn="r" rtl="1"/>
          <a:r>
            <a:rPr lang="he-IL" sz="3200" baseline="0">
              <a:solidFill>
                <a:sysClr val="windowText" lastClr="000000"/>
              </a:solidFill>
            </a:rPr>
            <a:t>שאר השאלות על סכומי כסף, ריביות, תוכניות חיסכון...</a:t>
          </a:r>
        </a:p>
        <a:p>
          <a:pPr algn="r" rtl="1"/>
          <a:endParaRPr lang="he-IL" sz="3200" baseline="0">
            <a:solidFill>
              <a:sysClr val="windowText" lastClr="000000"/>
            </a:solidFill>
          </a:endParaRPr>
        </a:p>
        <a:p>
          <a:pPr algn="r" rtl="1"/>
          <a:r>
            <a:rPr lang="he-IL" sz="3200" baseline="0">
              <a:solidFill>
                <a:sysClr val="windowText" lastClr="000000"/>
              </a:solidFill>
            </a:rPr>
            <a:t>בקיצור, לא מוותרים על אף נושא</a:t>
          </a:r>
        </a:p>
        <a:p>
          <a:pPr algn="r" rtl="1"/>
          <a:endParaRPr lang="he-IL" sz="3200">
            <a:solidFill>
              <a:srgbClr val="FF0000"/>
            </a:solidFill>
          </a:endParaRPr>
        </a:p>
        <a:p>
          <a:pPr algn="r" rtl="1"/>
          <a:r>
            <a:rPr lang="he-IL" sz="5400">
              <a:solidFill>
                <a:srgbClr val="FF0000"/>
              </a:solidFill>
            </a:rPr>
            <a:t>קוד קופון</a:t>
          </a:r>
          <a:r>
            <a:rPr lang="he-IL" sz="5400" baseline="0">
              <a:solidFill>
                <a:srgbClr val="FF0000"/>
              </a:solidFill>
            </a:rPr>
            <a:t> לקורס המקוון ביסודות המימון:   אביב25</a:t>
          </a:r>
        </a:p>
        <a:p>
          <a:pPr algn="r" rtl="1"/>
          <a:r>
            <a:rPr lang="he-IL" sz="5400" baseline="0">
              <a:solidFill>
                <a:srgbClr val="FF0000"/>
              </a:solidFill>
            </a:rPr>
            <a:t>כלומר 25% הנחה !!!</a:t>
          </a:r>
        </a:p>
        <a:p>
          <a:pPr algn="r" rtl="1"/>
          <a:endParaRPr lang="he-IL" sz="3200" baseline="0"/>
        </a:p>
        <a:p>
          <a:pPr algn="r" rtl="1"/>
          <a:r>
            <a:rPr lang="he-IL" sz="3200" baseline="0"/>
            <a:t> </a:t>
          </a:r>
          <a:r>
            <a:rPr lang="he-IL" sz="3200" baseline="0">
              <a:solidFill>
                <a:srgbClr val="FF0000"/>
              </a:solidFill>
            </a:rPr>
            <a:t>100% חינם: *לימודיה (תגבור) ביסודות המימון יום ראשון, 26 במאי⋅10:30 – 13:30</a:t>
          </a:r>
        </a:p>
        <a:p>
          <a:pPr algn="r" rtl="1"/>
          <a:r>
            <a:rPr lang="he-IL" sz="3200" baseline="0">
              <a:solidFill>
                <a:srgbClr val="FF0000"/>
              </a:solidFill>
            </a:rPr>
            <a:t>קישור לרכישת הקורס המקוון המבוקש (סרטוני לימוד) להכנה מלאה למבחן ביסודות המימון:  </a:t>
          </a:r>
        </a:p>
        <a:p>
          <a:pPr algn="r" rtl="1"/>
          <a:r>
            <a:rPr lang="af-ZA" sz="3200" baseline="0">
              <a:solidFill>
                <a:srgbClr val="FF0000"/>
              </a:solidFill>
            </a:rPr>
            <a:t>https://roy-idan.co.il/yci6</a:t>
          </a:r>
          <a:r>
            <a:rPr lang="he-IL" sz="3200" baseline="0">
              <a:solidFill>
                <a:srgbClr val="FF0000"/>
              </a:solidFill>
            </a:rPr>
            <a:t>  </a:t>
          </a:r>
          <a:r>
            <a:rPr lang="af-ZA" sz="3200" baseline="0">
              <a:solidFill>
                <a:srgbClr val="FF0000"/>
              </a:solidFill>
            </a:rPr>
            <a:t> </a:t>
          </a:r>
          <a:endParaRPr lang="he-IL" sz="3200" baseline="0">
            <a:solidFill>
              <a:srgbClr val="FF0000"/>
            </a:solidFill>
          </a:endParaRPr>
        </a:p>
        <a:p>
          <a:pPr algn="r" rtl="1"/>
          <a:endParaRPr lang="he-IL" sz="3200" baseline="0"/>
        </a:p>
        <a:p>
          <a:pPr algn="r" rtl="1"/>
          <a:endParaRPr lang="he-IL" sz="3200" baseline="0"/>
        </a:p>
        <a:p>
          <a:pPr algn="r" rtl="1"/>
          <a:r>
            <a:rPr lang="he-IL" sz="3200" baseline="0"/>
            <a:t>חינם: לימודיה (תגבור) בכלכלה ב מאקרו:יום שישי, 31 במאי⋅10:00 – 13:00</a:t>
          </a:r>
        </a:p>
        <a:p>
          <a:pPr algn="r" rtl="1"/>
          <a:r>
            <a:rPr lang="he-IL" sz="3200" baseline="0"/>
            <a:t>קישור לרכישת הקורס המקוון המושלם (סרטוני לימוד) להכנה מלאה למבחן בכלכלה ב מאקרו:</a:t>
          </a:r>
          <a:endParaRPr lang="en-US" sz="3200" baseline="0"/>
        </a:p>
        <a:p>
          <a:pPr algn="r" rtl="1"/>
          <a:r>
            <a:rPr lang="af-ZA" sz="3200" baseline="0"/>
            <a:t>https://roy-idan.co.il/o9k4 </a:t>
          </a:r>
          <a:r>
            <a:rPr lang="he-IL" sz="3200" baseline="0"/>
            <a:t> </a:t>
          </a:r>
        </a:p>
        <a:p>
          <a:pPr algn="r" rtl="1"/>
          <a:endParaRPr lang="he-IL" sz="3200" baseline="0"/>
        </a:p>
        <a:p>
          <a:pPr algn="r" rtl="1"/>
          <a:endParaRPr lang="he-IL" sz="3200" baseline="0"/>
        </a:p>
        <a:p>
          <a:pPr algn="r" rtl="1"/>
          <a:r>
            <a:rPr lang="he-IL" sz="3200" baseline="0"/>
            <a:t>חינם: לימודיה (תגבור) בסטטיסטיקה היסקית:יום רביעי, 5 ביוני⋅10:30 – 13:30קישור לרכישת הקורס המקוון הנודע (סרטוני לימוד) להכנה מלאה למבחן בסטטיסטיקה היסקית:</a:t>
          </a:r>
          <a:r>
            <a:rPr lang="af-ZA" sz="3200" baseline="0"/>
            <a:t>https://roy-idan.co.il/eg2a  </a:t>
          </a:r>
          <a:endParaRPr lang="he-IL" sz="3200" baseline="0"/>
        </a:p>
        <a:p>
          <a:pPr algn="r" rtl="1"/>
          <a:endParaRPr lang="he-IL" sz="3200" baseline="0"/>
        </a:p>
        <a:p>
          <a:pPr algn="r" rtl="1"/>
          <a:endParaRPr lang="he-IL" sz="3200" baseline="0"/>
        </a:p>
        <a:p>
          <a:pPr algn="r" rtl="1"/>
          <a:r>
            <a:rPr lang="he-IL" sz="3200" baseline="0"/>
            <a:t>קישור לרכישת הקורס המקוון המצוין (סרטוני לימוד) להכנה מלאה למבחן באנליסט </a:t>
          </a:r>
          <a:r>
            <a:rPr lang="en-US" sz="3200" baseline="0"/>
            <a:t>SQL</a:t>
          </a:r>
        </a:p>
        <a:p>
          <a:pPr algn="r" rtl="1"/>
          <a:r>
            <a:rPr lang="he-IL" sz="3200" baseline="0"/>
            <a:t> </a:t>
          </a:r>
          <a:r>
            <a:rPr lang="af-ZA" sz="3200" baseline="0"/>
            <a:t> </a:t>
          </a:r>
          <a:r>
            <a:rPr lang="en-US" sz="3200" baseline="0"/>
            <a:t> https://roy-idan.co.il/courses/%d7%90%d7%a0%d7%9c%d7%99%d7%a1%d7%98-sql/</a:t>
          </a:r>
          <a:endParaRPr lang="he-IL" sz="3200" baseline="0"/>
        </a:p>
        <a:p>
          <a:pPr algn="r" rtl="1"/>
          <a:endParaRPr lang="he-IL" sz="3200" baseline="0"/>
        </a:p>
        <a:p>
          <a:pPr algn="r" rtl="1"/>
          <a:r>
            <a:rPr lang="he-IL" sz="3200" baseline="0"/>
            <a:t>קישור לרכישת הקורס המקוון המושלם בכלכלה א- מיקרו (מיועד למסלול ערב בלבד) </a:t>
          </a:r>
        </a:p>
        <a:p>
          <a:pPr algn="r" rtl="1"/>
          <a:r>
            <a:rPr lang="af-ZA" sz="3200" baseline="0"/>
            <a:t>https://roy-idan.co.il/e550</a:t>
          </a:r>
          <a:endParaRPr lang="he-IL" sz="3200" baseline="0"/>
        </a:p>
        <a:p>
          <a:pPr algn="r" rtl="1"/>
          <a:endParaRPr lang="he-IL" sz="3200"/>
        </a:p>
        <a:p>
          <a:pPr algn="r" rtl="1"/>
          <a:r>
            <a:rPr lang="he-IL" sz="3200"/>
            <a:t>למבחנים לא ניגשים לבד  </a:t>
          </a:r>
          <a:r>
            <a:rPr lang="af-ZA" sz="3200"/>
            <a:t>www.roy-idan.co.il</a:t>
          </a:r>
          <a:r>
            <a:rPr lang="he-IL" sz="3200"/>
            <a:t> </a:t>
          </a:r>
        </a:p>
        <a:p>
          <a:pPr algn="r" rtl="1"/>
          <a:r>
            <a:rPr lang="he-IL" sz="3200"/>
            <a:t>לינק ישיר לווטסאפ  </a:t>
          </a:r>
          <a:r>
            <a:rPr lang="af-ZA" sz="3200"/>
            <a:t>https://bit.ly/3E4mHLn</a:t>
          </a:r>
          <a:endParaRPr lang="he-IL" sz="3200"/>
        </a:p>
        <a:p>
          <a:pPr algn="r" rtl="1"/>
          <a:r>
            <a:rPr lang="he-IL" sz="3200"/>
            <a:t>רועי עידן  052-546-6016</a:t>
          </a:r>
        </a:p>
      </xdr:txBody>
    </xdr:sp>
    <xdr:clientData/>
  </xdr:twoCellAnchor>
  <xdr:twoCellAnchor editAs="oneCell">
    <xdr:from>
      <xdr:col>27</xdr:col>
      <xdr:colOff>283027</xdr:colOff>
      <xdr:row>4</xdr:row>
      <xdr:rowOff>43544</xdr:rowOff>
    </xdr:from>
    <xdr:to>
      <xdr:col>39</xdr:col>
      <xdr:colOff>487817</xdr:colOff>
      <xdr:row>44</xdr:row>
      <xdr:rowOff>43543</xdr:rowOff>
    </xdr:to>
    <xdr:pic>
      <xdr:nvPicPr>
        <xdr:cNvPr id="3" name="תמונה 2">
          <a:extLst>
            <a:ext uri="{FF2B5EF4-FFF2-40B4-BE49-F238E27FC236}">
              <a16:creationId xmlns:a16="http://schemas.microsoft.com/office/drawing/2014/main" id="{CACB5AAE-469A-61BB-B024-044B51059AD0}"/>
            </a:ext>
          </a:extLst>
        </xdr:cNvPr>
        <xdr:cNvPicPr>
          <a:picLocks noChangeAspect="1"/>
        </xdr:cNvPicPr>
      </xdr:nvPicPr>
      <xdr:blipFill>
        <a:blip xmlns:r="http://schemas.openxmlformats.org/officeDocument/2006/relationships" r:embed="rId1"/>
        <a:stretch>
          <a:fillRect/>
        </a:stretch>
      </xdr:blipFill>
      <xdr:spPr>
        <a:xfrm>
          <a:off x="11030986183" y="740230"/>
          <a:ext cx="8303761" cy="6966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22901</xdr:colOff>
      <xdr:row>50</xdr:row>
      <xdr:rowOff>41791</xdr:rowOff>
    </xdr:from>
    <xdr:to>
      <xdr:col>10</xdr:col>
      <xdr:colOff>1167111</xdr:colOff>
      <xdr:row>63</xdr:row>
      <xdr:rowOff>343996</xdr:rowOff>
    </xdr:to>
    <xdr:pic>
      <xdr:nvPicPr>
        <xdr:cNvPr id="3" name="תמונה 2">
          <a:extLst>
            <a:ext uri="{FF2B5EF4-FFF2-40B4-BE49-F238E27FC236}">
              <a16:creationId xmlns:a16="http://schemas.microsoft.com/office/drawing/2014/main" id="{5529759A-77D3-4151-9C03-652508B61860}"/>
            </a:ext>
          </a:extLst>
        </xdr:cNvPr>
        <xdr:cNvPicPr>
          <a:picLocks noChangeAspect="1"/>
        </xdr:cNvPicPr>
      </xdr:nvPicPr>
      <xdr:blipFill>
        <a:blip xmlns:r="http://schemas.openxmlformats.org/officeDocument/2006/relationships" r:embed="rId1"/>
        <a:stretch>
          <a:fillRect/>
        </a:stretch>
      </xdr:blipFill>
      <xdr:spPr>
        <a:xfrm>
          <a:off x="11024228818" y="17146450"/>
          <a:ext cx="9077975" cy="5295546"/>
        </a:xfrm>
        <a:prstGeom prst="rect">
          <a:avLst/>
        </a:prstGeom>
      </xdr:spPr>
    </xdr:pic>
    <xdr:clientData/>
  </xdr:twoCellAnchor>
  <xdr:twoCellAnchor editAs="oneCell">
    <xdr:from>
      <xdr:col>1</xdr:col>
      <xdr:colOff>106749</xdr:colOff>
      <xdr:row>79</xdr:row>
      <xdr:rowOff>354415</xdr:rowOff>
    </xdr:from>
    <xdr:to>
      <xdr:col>7</xdr:col>
      <xdr:colOff>547372</xdr:colOff>
      <xdr:row>88</xdr:row>
      <xdr:rowOff>163855</xdr:rowOff>
    </xdr:to>
    <xdr:pic>
      <xdr:nvPicPr>
        <xdr:cNvPr id="4" name="תמונה 3">
          <a:extLst>
            <a:ext uri="{FF2B5EF4-FFF2-40B4-BE49-F238E27FC236}">
              <a16:creationId xmlns:a16="http://schemas.microsoft.com/office/drawing/2014/main" id="{1099F7C6-3FC1-6FDB-CCDC-A439CFEB17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1029752251" y="26531356"/>
          <a:ext cx="7029682" cy="3117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413107</xdr:colOff>
      <xdr:row>150</xdr:row>
      <xdr:rowOff>197222</xdr:rowOff>
    </xdr:from>
    <xdr:to>
      <xdr:col>8</xdr:col>
      <xdr:colOff>1801561</xdr:colOff>
      <xdr:row>157</xdr:row>
      <xdr:rowOff>34516</xdr:rowOff>
    </xdr:to>
    <xdr:pic>
      <xdr:nvPicPr>
        <xdr:cNvPr id="5" name="תמונה 4">
          <a:extLst>
            <a:ext uri="{FF2B5EF4-FFF2-40B4-BE49-F238E27FC236}">
              <a16:creationId xmlns:a16="http://schemas.microsoft.com/office/drawing/2014/main" id="{B44DCD60-7341-C251-8898-BBD2AF9FEB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027458156" y="45621387"/>
          <a:ext cx="9017419" cy="3288705"/>
        </a:xfrm>
        <a:prstGeom prst="rect">
          <a:avLst/>
        </a:prstGeom>
      </xdr:spPr>
    </xdr:pic>
    <xdr:clientData/>
  </xdr:twoCellAnchor>
  <xdr:twoCellAnchor editAs="oneCell">
    <xdr:from>
      <xdr:col>1</xdr:col>
      <xdr:colOff>333937</xdr:colOff>
      <xdr:row>175</xdr:row>
      <xdr:rowOff>55131</xdr:rowOff>
    </xdr:from>
    <xdr:to>
      <xdr:col>9</xdr:col>
      <xdr:colOff>779286</xdr:colOff>
      <xdr:row>203</xdr:row>
      <xdr:rowOff>166016</xdr:rowOff>
    </xdr:to>
    <xdr:pic>
      <xdr:nvPicPr>
        <xdr:cNvPr id="7" name="תמונה 6">
          <a:extLst>
            <a:ext uri="{FF2B5EF4-FFF2-40B4-BE49-F238E27FC236}">
              <a16:creationId xmlns:a16="http://schemas.microsoft.com/office/drawing/2014/main" id="{909CD877-0DD7-E2A6-48B7-01FAA66FF7E8}"/>
            </a:ext>
          </a:extLst>
        </xdr:cNvPr>
        <xdr:cNvPicPr>
          <a:picLocks noChangeAspect="1"/>
        </xdr:cNvPicPr>
      </xdr:nvPicPr>
      <xdr:blipFill>
        <a:blip xmlns:r="http://schemas.openxmlformats.org/officeDocument/2006/relationships" r:embed="rId4"/>
        <a:stretch>
          <a:fillRect/>
        </a:stretch>
      </xdr:blipFill>
      <xdr:spPr>
        <a:xfrm>
          <a:off x="11026535090" y="55295649"/>
          <a:ext cx="10019655" cy="5131120"/>
        </a:xfrm>
        <a:prstGeom prst="rect">
          <a:avLst/>
        </a:prstGeom>
      </xdr:spPr>
    </xdr:pic>
    <xdr:clientData/>
  </xdr:twoCellAnchor>
  <xdr:twoCellAnchor editAs="oneCell">
    <xdr:from>
      <xdr:col>1</xdr:col>
      <xdr:colOff>637401</xdr:colOff>
      <xdr:row>237</xdr:row>
      <xdr:rowOff>36983</xdr:rowOff>
    </xdr:from>
    <xdr:to>
      <xdr:col>9</xdr:col>
      <xdr:colOff>643635</xdr:colOff>
      <xdr:row>253</xdr:row>
      <xdr:rowOff>20706</xdr:rowOff>
    </xdr:to>
    <xdr:pic>
      <xdr:nvPicPr>
        <xdr:cNvPr id="8" name="תמונה 7">
          <a:extLst>
            <a:ext uri="{FF2B5EF4-FFF2-40B4-BE49-F238E27FC236}">
              <a16:creationId xmlns:a16="http://schemas.microsoft.com/office/drawing/2014/main" id="{4EFD3837-DAD1-5359-9E6D-A4FA3A209DB9}"/>
            </a:ext>
          </a:extLst>
        </xdr:cNvPr>
        <xdr:cNvPicPr>
          <a:picLocks noChangeAspect="1"/>
        </xdr:cNvPicPr>
      </xdr:nvPicPr>
      <xdr:blipFill>
        <a:blip xmlns:r="http://schemas.openxmlformats.org/officeDocument/2006/relationships" r:embed="rId5"/>
        <a:stretch>
          <a:fillRect/>
        </a:stretch>
      </xdr:blipFill>
      <xdr:spPr>
        <a:xfrm>
          <a:off x="11026670741" y="66393736"/>
          <a:ext cx="9580540" cy="3838546"/>
        </a:xfrm>
        <a:prstGeom prst="rect">
          <a:avLst/>
        </a:prstGeom>
      </xdr:spPr>
    </xdr:pic>
    <xdr:clientData/>
  </xdr:twoCellAnchor>
  <xdr:twoCellAnchor editAs="oneCell">
    <xdr:from>
      <xdr:col>0</xdr:col>
      <xdr:colOff>165831</xdr:colOff>
      <xdr:row>265</xdr:row>
      <xdr:rowOff>19314</xdr:rowOff>
    </xdr:from>
    <xdr:to>
      <xdr:col>8</xdr:col>
      <xdr:colOff>1732924</xdr:colOff>
      <xdr:row>289</xdr:row>
      <xdr:rowOff>65190</xdr:rowOff>
    </xdr:to>
    <xdr:pic>
      <xdr:nvPicPr>
        <xdr:cNvPr id="9" name="תמונה 8">
          <a:extLst>
            <a:ext uri="{FF2B5EF4-FFF2-40B4-BE49-F238E27FC236}">
              <a16:creationId xmlns:a16="http://schemas.microsoft.com/office/drawing/2014/main" id="{3E59C814-0116-E466-4C3A-3616C265918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069473933" y="73976857"/>
          <a:ext cx="9862007" cy="4868247"/>
        </a:xfrm>
        <a:prstGeom prst="rect">
          <a:avLst/>
        </a:prstGeom>
      </xdr:spPr>
    </xdr:pic>
    <xdr:clientData/>
  </xdr:twoCellAnchor>
  <xdr:twoCellAnchor editAs="oneCell">
    <xdr:from>
      <xdr:col>2</xdr:col>
      <xdr:colOff>1335293</xdr:colOff>
      <xdr:row>351</xdr:row>
      <xdr:rowOff>17673</xdr:rowOff>
    </xdr:from>
    <xdr:to>
      <xdr:col>10</xdr:col>
      <xdr:colOff>322484</xdr:colOff>
      <xdr:row>380</xdr:row>
      <xdr:rowOff>155559</xdr:rowOff>
    </xdr:to>
    <xdr:pic>
      <xdr:nvPicPr>
        <xdr:cNvPr id="10" name="תמונה 9">
          <a:extLst>
            <a:ext uri="{FF2B5EF4-FFF2-40B4-BE49-F238E27FC236}">
              <a16:creationId xmlns:a16="http://schemas.microsoft.com/office/drawing/2014/main" id="{BB81B8B4-88AC-0712-300A-71F2D918D87F}"/>
            </a:ext>
          </a:extLst>
        </xdr:cNvPr>
        <xdr:cNvPicPr>
          <a:picLocks noChangeAspect="1"/>
        </xdr:cNvPicPr>
      </xdr:nvPicPr>
      <xdr:blipFill>
        <a:blip xmlns:r="http://schemas.openxmlformats.org/officeDocument/2006/relationships" r:embed="rId7"/>
        <a:stretch>
          <a:fillRect/>
        </a:stretch>
      </xdr:blipFill>
      <xdr:spPr>
        <a:xfrm>
          <a:off x="11021353092" y="66204097"/>
          <a:ext cx="9807591" cy="5337418"/>
        </a:xfrm>
        <a:prstGeom prst="rect">
          <a:avLst/>
        </a:prstGeom>
      </xdr:spPr>
    </xdr:pic>
    <xdr:clientData/>
  </xdr:twoCellAnchor>
  <xdr:twoCellAnchor editAs="oneCell">
    <xdr:from>
      <xdr:col>2</xdr:col>
      <xdr:colOff>892117</xdr:colOff>
      <xdr:row>383</xdr:row>
      <xdr:rowOff>84651</xdr:rowOff>
    </xdr:from>
    <xdr:to>
      <xdr:col>9</xdr:col>
      <xdr:colOff>1823772</xdr:colOff>
      <xdr:row>413</xdr:row>
      <xdr:rowOff>9172</xdr:rowOff>
    </xdr:to>
    <xdr:pic>
      <xdr:nvPicPr>
        <xdr:cNvPr id="11" name="תמונה 10">
          <a:extLst>
            <a:ext uri="{FF2B5EF4-FFF2-40B4-BE49-F238E27FC236}">
              <a16:creationId xmlns:a16="http://schemas.microsoft.com/office/drawing/2014/main" id="{EE509C32-BFA5-8A05-EFB6-E5CF24CAFDAB}"/>
            </a:ext>
          </a:extLst>
        </xdr:cNvPr>
        <xdr:cNvPicPr>
          <a:picLocks noChangeAspect="1"/>
        </xdr:cNvPicPr>
      </xdr:nvPicPr>
      <xdr:blipFill>
        <a:blip xmlns:r="http://schemas.openxmlformats.org/officeDocument/2006/relationships" r:embed="rId8"/>
        <a:stretch>
          <a:fillRect/>
        </a:stretch>
      </xdr:blipFill>
      <xdr:spPr>
        <a:xfrm>
          <a:off x="11021770251" y="72008486"/>
          <a:ext cx="9833608" cy="5303347"/>
        </a:xfrm>
        <a:prstGeom prst="rect">
          <a:avLst/>
        </a:prstGeom>
      </xdr:spPr>
    </xdr:pic>
    <xdr:clientData/>
  </xdr:twoCellAnchor>
  <xdr:twoCellAnchor editAs="oneCell">
    <xdr:from>
      <xdr:col>1</xdr:col>
      <xdr:colOff>644474</xdr:colOff>
      <xdr:row>113</xdr:row>
      <xdr:rowOff>113810</xdr:rowOff>
    </xdr:from>
    <xdr:to>
      <xdr:col>8</xdr:col>
      <xdr:colOff>1220695</xdr:colOff>
      <xdr:row>124</xdr:row>
      <xdr:rowOff>304174</xdr:rowOff>
    </xdr:to>
    <xdr:pic>
      <xdr:nvPicPr>
        <xdr:cNvPr id="13" name="תמונה 12">
          <a:extLst>
            <a:ext uri="{FF2B5EF4-FFF2-40B4-BE49-F238E27FC236}">
              <a16:creationId xmlns:a16="http://schemas.microsoft.com/office/drawing/2014/main" id="{61A77EEF-5344-841A-FB31-AF209179EF28}"/>
            </a:ext>
          </a:extLst>
        </xdr:cNvPr>
        <xdr:cNvPicPr>
          <a:picLocks noChangeAspect="1"/>
        </xdr:cNvPicPr>
      </xdr:nvPicPr>
      <xdr:blipFill>
        <a:blip xmlns:r="http://schemas.openxmlformats.org/officeDocument/2006/relationships" r:embed="rId9"/>
        <a:stretch>
          <a:fillRect/>
        </a:stretch>
      </xdr:blipFill>
      <xdr:spPr>
        <a:xfrm>
          <a:off x="11028039022" y="35210634"/>
          <a:ext cx="8205186" cy="4072081"/>
        </a:xfrm>
        <a:prstGeom prst="rect">
          <a:avLst/>
        </a:prstGeom>
      </xdr:spPr>
    </xdr:pic>
    <xdr:clientData/>
  </xdr:twoCellAnchor>
  <xdr:twoCellAnchor editAs="oneCell">
    <xdr:from>
      <xdr:col>6</xdr:col>
      <xdr:colOff>921477</xdr:colOff>
      <xdr:row>38</xdr:row>
      <xdr:rowOff>129103</xdr:rowOff>
    </xdr:from>
    <xdr:to>
      <xdr:col>14</xdr:col>
      <xdr:colOff>578940</xdr:colOff>
      <xdr:row>48</xdr:row>
      <xdr:rowOff>33045</xdr:rowOff>
    </xdr:to>
    <xdr:pic>
      <xdr:nvPicPr>
        <xdr:cNvPr id="19" name="תמונה 18">
          <a:extLst>
            <a:ext uri="{FF2B5EF4-FFF2-40B4-BE49-F238E27FC236}">
              <a16:creationId xmlns:a16="http://schemas.microsoft.com/office/drawing/2014/main" id="{7021BF71-47E4-314D-E182-90BFABFEC1D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13351130" y="15082232"/>
          <a:ext cx="17255181" cy="1696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499849</xdr:colOff>
      <xdr:row>238</xdr:row>
      <xdr:rowOff>59586</xdr:rowOff>
    </xdr:from>
    <xdr:to>
      <xdr:col>12</xdr:col>
      <xdr:colOff>1428118</xdr:colOff>
      <xdr:row>247</xdr:row>
      <xdr:rowOff>100818</xdr:rowOff>
    </xdr:to>
    <xdr:pic>
      <xdr:nvPicPr>
        <xdr:cNvPr id="29" name="תמונה 28">
          <a:extLst>
            <a:ext uri="{FF2B5EF4-FFF2-40B4-BE49-F238E27FC236}">
              <a16:creationId xmlns:a16="http://schemas.microsoft.com/office/drawing/2014/main" id="{E6D58B20-E2B9-2BC8-42B2-D35B70A2E91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17073953" y="63027680"/>
          <a:ext cx="9453704" cy="1654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511628</xdr:colOff>
      <xdr:row>2</xdr:row>
      <xdr:rowOff>283027</xdr:rowOff>
    </xdr:from>
    <xdr:to>
      <xdr:col>9</xdr:col>
      <xdr:colOff>1513114</xdr:colOff>
      <xdr:row>10</xdr:row>
      <xdr:rowOff>408103</xdr:rowOff>
    </xdr:to>
    <xdr:pic>
      <xdr:nvPicPr>
        <xdr:cNvPr id="6" name="תמונה 5">
          <a:extLst>
            <a:ext uri="{FF2B5EF4-FFF2-40B4-BE49-F238E27FC236}">
              <a16:creationId xmlns:a16="http://schemas.microsoft.com/office/drawing/2014/main" id="{0386E2D2-0F1C-6325-D0AF-CD5C2A351CE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67745200" y="631370"/>
          <a:ext cx="11244943" cy="4043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300895</xdr:colOff>
      <xdr:row>93</xdr:row>
      <xdr:rowOff>182558</xdr:rowOff>
    </xdr:from>
    <xdr:to>
      <xdr:col>10</xdr:col>
      <xdr:colOff>92145</xdr:colOff>
      <xdr:row>94</xdr:row>
      <xdr:rowOff>96496</xdr:rowOff>
    </xdr:to>
    <xdr:pic>
      <xdr:nvPicPr>
        <xdr:cNvPr id="14" name="תמונה 13">
          <a:extLst>
            <a:ext uri="{FF2B5EF4-FFF2-40B4-BE49-F238E27FC236}">
              <a16:creationId xmlns:a16="http://schemas.microsoft.com/office/drawing/2014/main" id="{C5A9CB1E-F5E2-C04F-1DD0-4A7E357BA43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67250283" y="31555187"/>
          <a:ext cx="4689822" cy="284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1905000</xdr:colOff>
      <xdr:row>5</xdr:row>
      <xdr:rowOff>424543</xdr:rowOff>
    </xdr:from>
    <xdr:to>
      <xdr:col>10</xdr:col>
      <xdr:colOff>2579914</xdr:colOff>
      <xdr:row>7</xdr:row>
      <xdr:rowOff>29391</xdr:rowOff>
    </xdr:to>
    <xdr:pic>
      <xdr:nvPicPr>
        <xdr:cNvPr id="38" name="תמונה 37">
          <a:extLst>
            <a:ext uri="{FF2B5EF4-FFF2-40B4-BE49-F238E27FC236}">
              <a16:creationId xmlns:a16="http://schemas.microsoft.com/office/drawing/2014/main" id="{1F6FCFC8-FAF6-1A41-4D6F-0DB1858F258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064762514" y="2242457"/>
          <a:ext cx="674914" cy="58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1920368</xdr:colOff>
      <xdr:row>10</xdr:row>
      <xdr:rowOff>430306</xdr:rowOff>
    </xdr:from>
    <xdr:to>
      <xdr:col>10</xdr:col>
      <xdr:colOff>2595282</xdr:colOff>
      <xdr:row>12</xdr:row>
      <xdr:rowOff>40918</xdr:rowOff>
    </xdr:to>
    <xdr:pic>
      <xdr:nvPicPr>
        <xdr:cNvPr id="39" name="תמונה 38">
          <a:extLst>
            <a:ext uri="{FF2B5EF4-FFF2-40B4-BE49-F238E27FC236}">
              <a16:creationId xmlns:a16="http://schemas.microsoft.com/office/drawing/2014/main" id="{80B3B3AE-41AA-FD9A-43D3-6C3264DB508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022800647" y="4661647"/>
          <a:ext cx="674914" cy="57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1986963</xdr:colOff>
      <xdr:row>12</xdr:row>
      <xdr:rowOff>446315</xdr:rowOff>
    </xdr:from>
    <xdr:to>
      <xdr:col>10</xdr:col>
      <xdr:colOff>2661877</xdr:colOff>
      <xdr:row>14</xdr:row>
      <xdr:rowOff>51163</xdr:rowOff>
    </xdr:to>
    <xdr:pic>
      <xdr:nvPicPr>
        <xdr:cNvPr id="40" name="תמונה 39">
          <a:extLst>
            <a:ext uri="{FF2B5EF4-FFF2-40B4-BE49-F238E27FC236}">
              <a16:creationId xmlns:a16="http://schemas.microsoft.com/office/drawing/2014/main" id="{4FE4BB92-C00F-D913-41AA-02C7CAF2DA9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022734052" y="5645844"/>
          <a:ext cx="674914" cy="573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1283235</xdr:colOff>
      <xdr:row>39</xdr:row>
      <xdr:rowOff>149200</xdr:rowOff>
    </xdr:from>
    <xdr:to>
      <xdr:col>6</xdr:col>
      <xdr:colOff>156243</xdr:colOff>
      <xdr:row>42</xdr:row>
      <xdr:rowOff>154004</xdr:rowOff>
    </xdr:to>
    <xdr:pic>
      <xdr:nvPicPr>
        <xdr:cNvPr id="41" name="תמונה 40">
          <a:extLst>
            <a:ext uri="{FF2B5EF4-FFF2-40B4-BE49-F238E27FC236}">
              <a16:creationId xmlns:a16="http://schemas.microsoft.com/office/drawing/2014/main" id="{0AE4137D-C462-C59E-590B-AEFBBEA5F9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031371545" y="15281624"/>
          <a:ext cx="674914" cy="54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26034</xdr:colOff>
      <xdr:row>84</xdr:row>
      <xdr:rowOff>16318</xdr:rowOff>
    </xdr:from>
    <xdr:to>
      <xdr:col>8</xdr:col>
      <xdr:colOff>414691</xdr:colOff>
      <xdr:row>84</xdr:row>
      <xdr:rowOff>313765</xdr:rowOff>
    </xdr:to>
    <xdr:pic>
      <xdr:nvPicPr>
        <xdr:cNvPr id="44" name="תמונה 43">
          <a:extLst>
            <a:ext uri="{FF2B5EF4-FFF2-40B4-BE49-F238E27FC236}">
              <a16:creationId xmlns:a16="http://schemas.microsoft.com/office/drawing/2014/main" id="{69E29DD7-29D1-44C7-B91C-38D53FA22E3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28845026" y="28031024"/>
          <a:ext cx="388657" cy="297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2308</xdr:colOff>
      <xdr:row>86</xdr:row>
      <xdr:rowOff>363381</xdr:rowOff>
    </xdr:from>
    <xdr:to>
      <xdr:col>8</xdr:col>
      <xdr:colOff>347458</xdr:colOff>
      <xdr:row>87</xdr:row>
      <xdr:rowOff>259978</xdr:rowOff>
    </xdr:to>
    <xdr:pic>
      <xdr:nvPicPr>
        <xdr:cNvPr id="45" name="תמונה 44">
          <a:extLst>
            <a:ext uri="{FF2B5EF4-FFF2-40B4-BE49-F238E27FC236}">
              <a16:creationId xmlns:a16="http://schemas.microsoft.com/office/drawing/2014/main" id="{ED2754D1-F606-4CEF-9D95-2EFEB171C9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28912259" y="29113193"/>
          <a:ext cx="345150" cy="26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1026315</xdr:colOff>
      <xdr:row>89</xdr:row>
      <xdr:rowOff>31684</xdr:rowOff>
    </xdr:from>
    <xdr:to>
      <xdr:col>8</xdr:col>
      <xdr:colOff>331560</xdr:colOff>
      <xdr:row>89</xdr:row>
      <xdr:rowOff>295835</xdr:rowOff>
    </xdr:to>
    <xdr:pic>
      <xdr:nvPicPr>
        <xdr:cNvPr id="46" name="תמונה 45">
          <a:extLst>
            <a:ext uri="{FF2B5EF4-FFF2-40B4-BE49-F238E27FC236}">
              <a16:creationId xmlns:a16="http://schemas.microsoft.com/office/drawing/2014/main" id="{8430CCD3-42FE-4961-A1E1-31FE25E7EEE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28928157" y="29884155"/>
          <a:ext cx="345151" cy="26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412902</xdr:colOff>
      <xdr:row>83</xdr:row>
      <xdr:rowOff>219945</xdr:rowOff>
    </xdr:from>
    <xdr:to>
      <xdr:col>11</xdr:col>
      <xdr:colOff>1100495</xdr:colOff>
      <xdr:row>85</xdr:row>
      <xdr:rowOff>11067</xdr:rowOff>
    </xdr:to>
    <xdr:pic>
      <xdr:nvPicPr>
        <xdr:cNvPr id="47" name="תמונה 46">
          <a:extLst>
            <a:ext uri="{FF2B5EF4-FFF2-40B4-BE49-F238E27FC236}">
              <a16:creationId xmlns:a16="http://schemas.microsoft.com/office/drawing/2014/main" id="{CC37C6C8-9198-4B83-9DA9-A6C280D1390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21606022" y="27867098"/>
          <a:ext cx="687593" cy="526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412902</xdr:colOff>
      <xdr:row>85</xdr:row>
      <xdr:rowOff>193050</xdr:rowOff>
    </xdr:from>
    <xdr:to>
      <xdr:col>11</xdr:col>
      <xdr:colOff>1100495</xdr:colOff>
      <xdr:row>86</xdr:row>
      <xdr:rowOff>351725</xdr:rowOff>
    </xdr:to>
    <xdr:pic>
      <xdr:nvPicPr>
        <xdr:cNvPr id="48" name="תמונה 47">
          <a:extLst>
            <a:ext uri="{FF2B5EF4-FFF2-40B4-BE49-F238E27FC236}">
              <a16:creationId xmlns:a16="http://schemas.microsoft.com/office/drawing/2014/main" id="{3E9E887D-3359-413A-88AE-7150DD87758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21606022" y="28575309"/>
          <a:ext cx="687593" cy="526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3877765</xdr:colOff>
      <xdr:row>118</xdr:row>
      <xdr:rowOff>14627</xdr:rowOff>
    </xdr:from>
    <xdr:to>
      <xdr:col>12</xdr:col>
      <xdr:colOff>480306</xdr:colOff>
      <xdr:row>119</xdr:row>
      <xdr:rowOff>10886</xdr:rowOff>
    </xdr:to>
    <xdr:pic>
      <xdr:nvPicPr>
        <xdr:cNvPr id="49" name="תמונה 48">
          <a:extLst>
            <a:ext uri="{FF2B5EF4-FFF2-40B4-BE49-F238E27FC236}">
              <a16:creationId xmlns:a16="http://schemas.microsoft.com/office/drawing/2014/main" id="{68AEF493-E8FB-4DFA-8385-2C0563486A4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60254494" y="36536198"/>
          <a:ext cx="521398" cy="399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3906583</xdr:colOff>
      <xdr:row>121</xdr:row>
      <xdr:rowOff>381000</xdr:rowOff>
    </xdr:from>
    <xdr:to>
      <xdr:col>12</xdr:col>
      <xdr:colOff>528330</xdr:colOff>
      <xdr:row>122</xdr:row>
      <xdr:rowOff>392936</xdr:rowOff>
    </xdr:to>
    <xdr:pic>
      <xdr:nvPicPr>
        <xdr:cNvPr id="50" name="תמונה 49">
          <a:extLst>
            <a:ext uri="{FF2B5EF4-FFF2-40B4-BE49-F238E27FC236}">
              <a16:creationId xmlns:a16="http://schemas.microsoft.com/office/drawing/2014/main" id="{E6468776-6BC0-41FA-8A75-D8EE54EBD7D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60206470" y="38110886"/>
          <a:ext cx="540604" cy="414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1375556</xdr:colOff>
      <xdr:row>154</xdr:row>
      <xdr:rowOff>489857</xdr:rowOff>
    </xdr:from>
    <xdr:to>
      <xdr:col>10</xdr:col>
      <xdr:colOff>261259</xdr:colOff>
      <xdr:row>155</xdr:row>
      <xdr:rowOff>446315</xdr:rowOff>
    </xdr:to>
    <xdr:pic>
      <xdr:nvPicPr>
        <xdr:cNvPr id="51" name="תמונה 50">
          <a:extLst>
            <a:ext uri="{FF2B5EF4-FFF2-40B4-BE49-F238E27FC236}">
              <a16:creationId xmlns:a16="http://schemas.microsoft.com/office/drawing/2014/main" id="{82C524AC-2392-439F-8602-EBB86703EF6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flipH="1">
          <a:off x="11067081169" y="47810057"/>
          <a:ext cx="801589"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1426030</xdr:colOff>
      <xdr:row>156</xdr:row>
      <xdr:rowOff>22642</xdr:rowOff>
    </xdr:from>
    <xdr:to>
      <xdr:col>10</xdr:col>
      <xdr:colOff>182491</xdr:colOff>
      <xdr:row>156</xdr:row>
      <xdr:rowOff>478970</xdr:rowOff>
    </xdr:to>
    <xdr:pic>
      <xdr:nvPicPr>
        <xdr:cNvPr id="52" name="תמונה 51">
          <a:extLst>
            <a:ext uri="{FF2B5EF4-FFF2-40B4-BE49-F238E27FC236}">
              <a16:creationId xmlns:a16="http://schemas.microsoft.com/office/drawing/2014/main" id="{4959B059-7C80-4CFB-A2E1-9BFD68D44F3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67159937" y="48344328"/>
          <a:ext cx="672347" cy="45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1423462</xdr:colOff>
      <xdr:row>157</xdr:row>
      <xdr:rowOff>44413</xdr:rowOff>
    </xdr:from>
    <xdr:to>
      <xdr:col>10</xdr:col>
      <xdr:colOff>179923</xdr:colOff>
      <xdr:row>158</xdr:row>
      <xdr:rowOff>62</xdr:rowOff>
    </xdr:to>
    <xdr:pic>
      <xdr:nvPicPr>
        <xdr:cNvPr id="53" name="תמונה 52">
          <a:extLst>
            <a:ext uri="{FF2B5EF4-FFF2-40B4-BE49-F238E27FC236}">
              <a16:creationId xmlns:a16="http://schemas.microsoft.com/office/drawing/2014/main" id="{C686D8BD-E6C2-47E7-AD7F-0AF893F53F6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67162505" y="48866842"/>
          <a:ext cx="672347" cy="45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3256917</xdr:colOff>
      <xdr:row>244</xdr:row>
      <xdr:rowOff>95444</xdr:rowOff>
    </xdr:from>
    <xdr:to>
      <xdr:col>12</xdr:col>
      <xdr:colOff>472974</xdr:colOff>
      <xdr:row>246</xdr:row>
      <xdr:rowOff>22646</xdr:rowOff>
    </xdr:to>
    <xdr:pic>
      <xdr:nvPicPr>
        <xdr:cNvPr id="171" name="תמונה 170">
          <a:extLst>
            <a:ext uri="{FF2B5EF4-FFF2-40B4-BE49-F238E27FC236}">
              <a16:creationId xmlns:a16="http://schemas.microsoft.com/office/drawing/2014/main" id="{DF4B966D-B1CA-153A-A533-60ABD4062873}"/>
            </a:ext>
          </a:extLst>
        </xdr:cNvPr>
        <xdr:cNvPicPr>
          <a:picLocks noChangeAspect="1"/>
        </xdr:cNvPicPr>
      </xdr:nvPicPr>
      <xdr:blipFill>
        <a:blip xmlns:r="http://schemas.openxmlformats.org/officeDocument/2006/relationships" r:embed="rId17"/>
        <a:stretch>
          <a:fillRect/>
        </a:stretch>
      </xdr:blipFill>
      <xdr:spPr>
        <a:xfrm>
          <a:off x="11018315967" y="67707256"/>
          <a:ext cx="1133633" cy="285790"/>
        </a:xfrm>
        <a:prstGeom prst="rect">
          <a:avLst/>
        </a:prstGeom>
      </xdr:spPr>
    </xdr:pic>
    <xdr:clientData/>
  </xdr:twoCellAnchor>
  <xdr:twoCellAnchor editAs="oneCell">
    <xdr:from>
      <xdr:col>12</xdr:col>
      <xdr:colOff>791623</xdr:colOff>
      <xdr:row>245</xdr:row>
      <xdr:rowOff>59585</xdr:rowOff>
    </xdr:from>
    <xdr:to>
      <xdr:col>12</xdr:col>
      <xdr:colOff>2096730</xdr:colOff>
      <xdr:row>247</xdr:row>
      <xdr:rowOff>5840</xdr:rowOff>
    </xdr:to>
    <xdr:pic>
      <xdr:nvPicPr>
        <xdr:cNvPr id="178" name="תמונה 177">
          <a:extLst>
            <a:ext uri="{FF2B5EF4-FFF2-40B4-BE49-F238E27FC236}">
              <a16:creationId xmlns:a16="http://schemas.microsoft.com/office/drawing/2014/main" id="{C2507E64-5965-F2E6-BD70-CCF27363CA93}"/>
            </a:ext>
          </a:extLst>
        </xdr:cNvPr>
        <xdr:cNvPicPr>
          <a:picLocks noChangeAspect="1"/>
        </xdr:cNvPicPr>
      </xdr:nvPicPr>
      <xdr:blipFill>
        <a:blip xmlns:r="http://schemas.openxmlformats.org/officeDocument/2006/relationships" r:embed="rId18"/>
        <a:stretch>
          <a:fillRect/>
        </a:stretch>
      </xdr:blipFill>
      <xdr:spPr>
        <a:xfrm>
          <a:off x="11016692211" y="67850691"/>
          <a:ext cx="1305107" cy="304843"/>
        </a:xfrm>
        <a:prstGeom prst="rect">
          <a:avLst/>
        </a:prstGeom>
      </xdr:spPr>
    </xdr:pic>
    <xdr:clientData/>
  </xdr:twoCellAnchor>
  <xdr:twoCellAnchor editAs="oneCell">
    <xdr:from>
      <xdr:col>2</xdr:col>
      <xdr:colOff>1326564</xdr:colOff>
      <xdr:row>240</xdr:row>
      <xdr:rowOff>24664</xdr:rowOff>
    </xdr:from>
    <xdr:to>
      <xdr:col>4</xdr:col>
      <xdr:colOff>196242</xdr:colOff>
      <xdr:row>243</xdr:row>
      <xdr:rowOff>36501</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9" name="דיו 188">
              <a:extLst>
                <a:ext uri="{FF2B5EF4-FFF2-40B4-BE49-F238E27FC236}">
                  <a16:creationId xmlns:a16="http://schemas.microsoft.com/office/drawing/2014/main" id="{BD2D5FD3-F088-2641-744F-50BD12F64807}"/>
                </a:ext>
              </a:extLst>
            </xdr14:cNvPr>
            <xdr14:cNvContentPartPr/>
          </xdr14:nvContentPartPr>
          <xdr14:nvPr macro=""/>
          <xdr14:xfrm>
            <a:off x="11033805805" y="66919299"/>
            <a:ext cx="1083960" cy="549720"/>
          </xdr14:xfrm>
        </xdr:contentPart>
      </mc:Choice>
      <mc:Fallback xmlns="">
        <xdr:pic>
          <xdr:nvPicPr>
            <xdr:cNvPr id="189" name="דיו 188">
              <a:extLst>
                <a:ext uri="{FF2B5EF4-FFF2-40B4-BE49-F238E27FC236}">
                  <a16:creationId xmlns:a16="http://schemas.microsoft.com/office/drawing/2014/main" id="{BD2D5FD3-F088-2641-744F-50BD12F64807}"/>
                </a:ext>
              </a:extLst>
            </xdr:cNvPr>
            <xdr:cNvPicPr/>
          </xdr:nvPicPr>
          <xdr:blipFill>
            <a:blip xmlns:r="http://schemas.openxmlformats.org/officeDocument/2006/relationships" r:embed="rId31"/>
            <a:stretch>
              <a:fillRect/>
            </a:stretch>
          </xdr:blipFill>
          <xdr:spPr>
            <a:xfrm>
              <a:off x="11033799661" y="66913006"/>
              <a:ext cx="1096249" cy="562306"/>
            </a:xfrm>
            <a:prstGeom prst="rect">
              <a:avLst/>
            </a:prstGeom>
          </xdr:spPr>
        </xdr:pic>
      </mc:Fallback>
    </mc:AlternateContent>
    <xdr:clientData/>
  </xdr:twoCellAnchor>
  <xdr:twoCellAnchor editAs="oneCell">
    <xdr:from>
      <xdr:col>11</xdr:col>
      <xdr:colOff>2429872</xdr:colOff>
      <xdr:row>244</xdr:row>
      <xdr:rowOff>107407</xdr:rowOff>
    </xdr:from>
    <xdr:to>
      <xdr:col>11</xdr:col>
      <xdr:colOff>3004072</xdr:colOff>
      <xdr:row>245</xdr:row>
      <xdr:rowOff>9113</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209" name="דיו 208">
              <a:extLst>
                <a:ext uri="{FF2B5EF4-FFF2-40B4-BE49-F238E27FC236}">
                  <a16:creationId xmlns:a16="http://schemas.microsoft.com/office/drawing/2014/main" id="{7CB0E38F-E036-CBEA-90E9-6057DB6342EE}"/>
                </a:ext>
              </a:extLst>
            </xdr14:cNvPr>
            <xdr14:cNvContentPartPr/>
          </xdr14:nvContentPartPr>
          <xdr14:nvPr macro=""/>
          <xdr14:xfrm>
            <a:off x="11019702445" y="67719219"/>
            <a:ext cx="574200" cy="81000"/>
          </xdr14:xfrm>
        </xdr:contentPart>
      </mc:Choice>
      <mc:Fallback xmlns="">
        <xdr:pic>
          <xdr:nvPicPr>
            <xdr:cNvPr id="209" name="דיו 208">
              <a:extLst>
                <a:ext uri="{FF2B5EF4-FFF2-40B4-BE49-F238E27FC236}">
                  <a16:creationId xmlns:a16="http://schemas.microsoft.com/office/drawing/2014/main" id="{7CB0E38F-E036-CBEA-90E9-6057DB6342EE}"/>
                </a:ext>
              </a:extLst>
            </xdr:cNvPr>
            <xdr:cNvPicPr/>
          </xdr:nvPicPr>
          <xdr:blipFill>
            <a:blip xmlns:r="http://schemas.openxmlformats.org/officeDocument/2006/relationships" r:embed="rId33"/>
            <a:stretch>
              <a:fillRect/>
            </a:stretch>
          </xdr:blipFill>
          <xdr:spPr>
            <a:xfrm>
              <a:off x="11019696325" y="67713099"/>
              <a:ext cx="586440" cy="932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491062</xdr:colOff>
      <xdr:row>43</xdr:row>
      <xdr:rowOff>115636</xdr:rowOff>
    </xdr:from>
    <xdr:to>
      <xdr:col>24</xdr:col>
      <xdr:colOff>120553</xdr:colOff>
      <xdr:row>57</xdr:row>
      <xdr:rowOff>91078</xdr:rowOff>
    </xdr:to>
    <xdr:pic>
      <xdr:nvPicPr>
        <xdr:cNvPr id="2" name="תמונה 1">
          <a:extLst>
            <a:ext uri="{FF2B5EF4-FFF2-40B4-BE49-F238E27FC236}">
              <a16:creationId xmlns:a16="http://schemas.microsoft.com/office/drawing/2014/main" id="{42184FD4-F94A-ADD5-FCFF-59AA50F85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973654807" y="7728016"/>
          <a:ext cx="14991411" cy="2429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251661</xdr:colOff>
      <xdr:row>6</xdr:row>
      <xdr:rowOff>164759</xdr:rowOff>
    </xdr:from>
    <xdr:to>
      <xdr:col>14</xdr:col>
      <xdr:colOff>510989</xdr:colOff>
      <xdr:row>44</xdr:row>
      <xdr:rowOff>373</xdr:rowOff>
    </xdr:to>
    <xdr:pic>
      <xdr:nvPicPr>
        <xdr:cNvPr id="3" name="תמונה 2">
          <a:extLst>
            <a:ext uri="{FF2B5EF4-FFF2-40B4-BE49-F238E27FC236}">
              <a16:creationId xmlns:a16="http://schemas.microsoft.com/office/drawing/2014/main" id="{73E78068-E43F-401A-9A1F-AB40BD7BEE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016619482" y="1240524"/>
          <a:ext cx="10667351" cy="6621896"/>
        </a:xfrm>
        <a:prstGeom prst="rect">
          <a:avLst/>
        </a:prstGeom>
      </xdr:spPr>
    </xdr:pic>
    <xdr:clientData/>
  </xdr:twoCellAnchor>
  <xdr:twoCellAnchor editAs="oneCell">
    <xdr:from>
      <xdr:col>15</xdr:col>
      <xdr:colOff>87202</xdr:colOff>
      <xdr:row>5</xdr:row>
      <xdr:rowOff>52974</xdr:rowOff>
    </xdr:from>
    <xdr:to>
      <xdr:col>22</xdr:col>
      <xdr:colOff>3408218</xdr:colOff>
      <xdr:row>19</xdr:row>
      <xdr:rowOff>130562</xdr:rowOff>
    </xdr:to>
    <xdr:pic>
      <xdr:nvPicPr>
        <xdr:cNvPr id="4" name="תמונה 3">
          <a:extLst>
            <a:ext uri="{FF2B5EF4-FFF2-40B4-BE49-F238E27FC236}">
              <a16:creationId xmlns:a16="http://schemas.microsoft.com/office/drawing/2014/main" id="{09571671-0F4E-46AE-A9E6-A52340EAB9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0884560400" y="953519"/>
          <a:ext cx="11384362" cy="257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544950</xdr:colOff>
      <xdr:row>37</xdr:row>
      <xdr:rowOff>6287</xdr:rowOff>
    </xdr:from>
    <xdr:to>
      <xdr:col>14</xdr:col>
      <xdr:colOff>622820</xdr:colOff>
      <xdr:row>50</xdr:row>
      <xdr:rowOff>83174</xdr:rowOff>
    </xdr:to>
    <xdr:pic>
      <xdr:nvPicPr>
        <xdr:cNvPr id="7" name="תמונה 6">
          <a:extLst>
            <a:ext uri="{FF2B5EF4-FFF2-40B4-BE49-F238E27FC236}">
              <a16:creationId xmlns:a16="http://schemas.microsoft.com/office/drawing/2014/main" id="{D1374078-D670-C59A-1F8C-4933DE75D4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1016507651" y="6640169"/>
          <a:ext cx="7796481" cy="2407710"/>
        </a:xfrm>
        <a:prstGeom prst="rect">
          <a:avLst/>
        </a:prstGeom>
      </xdr:spPr>
    </xdr:pic>
    <xdr:clientData/>
  </xdr:twoCellAnchor>
  <xdr:twoCellAnchor>
    <xdr:from>
      <xdr:col>20</xdr:col>
      <xdr:colOff>430306</xdr:colOff>
      <xdr:row>55</xdr:row>
      <xdr:rowOff>8965</xdr:rowOff>
    </xdr:from>
    <xdr:to>
      <xdr:col>20</xdr:col>
      <xdr:colOff>430306</xdr:colOff>
      <xdr:row>70</xdr:row>
      <xdr:rowOff>125506</xdr:rowOff>
    </xdr:to>
    <xdr:cxnSp macro="">
      <xdr:nvCxnSpPr>
        <xdr:cNvPr id="15" name="מחבר ישר 14">
          <a:extLst>
            <a:ext uri="{FF2B5EF4-FFF2-40B4-BE49-F238E27FC236}">
              <a16:creationId xmlns:a16="http://schemas.microsoft.com/office/drawing/2014/main" id="{0BBB8D7F-781D-92F4-873A-A8E2C160EA0F}"/>
            </a:ext>
          </a:extLst>
        </xdr:cNvPr>
        <xdr:cNvCxnSpPr/>
      </xdr:nvCxnSpPr>
      <xdr:spPr>
        <a:xfrm>
          <a:off x="11010496588" y="9870141"/>
          <a:ext cx="0" cy="2832847"/>
        </a:xfrm>
        <a:prstGeom prst="line">
          <a:avLst/>
        </a:prstGeom>
        <a:ln w="7620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65314</xdr:colOff>
      <xdr:row>26</xdr:row>
      <xdr:rowOff>32657</xdr:rowOff>
    </xdr:from>
    <xdr:to>
      <xdr:col>15</xdr:col>
      <xdr:colOff>740228</xdr:colOff>
      <xdr:row>29</xdr:row>
      <xdr:rowOff>72293</xdr:rowOff>
    </xdr:to>
    <xdr:pic>
      <xdr:nvPicPr>
        <xdr:cNvPr id="5" name="תמונה 4">
          <a:extLst>
            <a:ext uri="{FF2B5EF4-FFF2-40B4-BE49-F238E27FC236}">
              <a16:creationId xmlns:a16="http://schemas.microsoft.com/office/drawing/2014/main" id="{66E3DFD3-60F3-4A07-8FFF-C5FABDDF03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57120743" y="4572000"/>
          <a:ext cx="674914" cy="5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2567472</xdr:colOff>
      <xdr:row>7</xdr:row>
      <xdr:rowOff>148447</xdr:rowOff>
    </xdr:from>
    <xdr:to>
      <xdr:col>22</xdr:col>
      <xdr:colOff>3235982</xdr:colOff>
      <xdr:row>10</xdr:row>
      <xdr:rowOff>151320</xdr:rowOff>
    </xdr:to>
    <xdr:pic>
      <xdr:nvPicPr>
        <xdr:cNvPr id="6" name="תמונה 5">
          <a:extLst>
            <a:ext uri="{FF2B5EF4-FFF2-40B4-BE49-F238E27FC236}">
              <a16:creationId xmlns:a16="http://schemas.microsoft.com/office/drawing/2014/main" id="{43C506C3-08BC-44FB-B564-5BDE6704E5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46569561" y="1367647"/>
          <a:ext cx="668510" cy="525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47846</xdr:colOff>
      <xdr:row>3</xdr:row>
      <xdr:rowOff>122907</xdr:rowOff>
    </xdr:from>
    <xdr:to>
      <xdr:col>49</xdr:col>
      <xdr:colOff>201981</xdr:colOff>
      <xdr:row>5</xdr:row>
      <xdr:rowOff>99562</xdr:rowOff>
    </xdr:to>
    <xdr:pic>
      <xdr:nvPicPr>
        <xdr:cNvPr id="12" name="תמונה 11">
          <a:extLst>
            <a:ext uri="{FF2B5EF4-FFF2-40B4-BE49-F238E27FC236}">
              <a16:creationId xmlns:a16="http://schemas.microsoft.com/office/drawing/2014/main" id="{30AACA49-AEDC-6046-BB47-0FA64C81D595}"/>
            </a:ext>
          </a:extLst>
        </xdr:cNvPr>
        <xdr:cNvPicPr>
          <a:picLocks noChangeAspect="1"/>
        </xdr:cNvPicPr>
      </xdr:nvPicPr>
      <xdr:blipFill>
        <a:blip xmlns:r="http://schemas.openxmlformats.org/officeDocument/2006/relationships" r:embed="rId7"/>
        <a:stretch>
          <a:fillRect/>
        </a:stretch>
      </xdr:blipFill>
      <xdr:spPr>
        <a:xfrm>
          <a:off x="10862870019" y="663234"/>
          <a:ext cx="1484171" cy="336873"/>
        </a:xfrm>
        <a:prstGeom prst="rect">
          <a:avLst/>
        </a:prstGeom>
      </xdr:spPr>
    </xdr:pic>
    <xdr:clientData/>
  </xdr:twoCellAnchor>
  <xdr:twoCellAnchor editAs="oneCell">
    <xdr:from>
      <xdr:col>0</xdr:col>
      <xdr:colOff>10667</xdr:colOff>
      <xdr:row>5</xdr:row>
      <xdr:rowOff>48900</xdr:rowOff>
    </xdr:from>
    <xdr:to>
      <xdr:col>0</xdr:col>
      <xdr:colOff>19981</xdr:colOff>
      <xdr:row>7</xdr:row>
      <xdr:rowOff>12576</xdr:rowOff>
    </xdr:to>
    <xdr:pic>
      <xdr:nvPicPr>
        <xdr:cNvPr id="13" name="תמונה 12">
          <a:extLst>
            <a:ext uri="{FF2B5EF4-FFF2-40B4-BE49-F238E27FC236}">
              <a16:creationId xmlns:a16="http://schemas.microsoft.com/office/drawing/2014/main" id="{8EB68A82-5ACE-EF35-A45E-9F05CE7576EE}"/>
            </a:ext>
          </a:extLst>
        </xdr:cNvPr>
        <xdr:cNvPicPr>
          <a:picLocks noChangeAspect="1"/>
        </xdr:cNvPicPr>
      </xdr:nvPicPr>
      <xdr:blipFill>
        <a:blip xmlns:r="http://schemas.openxmlformats.org/officeDocument/2006/relationships" r:embed="rId7"/>
        <a:stretch>
          <a:fillRect/>
        </a:stretch>
      </xdr:blipFill>
      <xdr:spPr>
        <a:xfrm>
          <a:off x="10999427083" y="949445"/>
          <a:ext cx="1514686" cy="323895"/>
        </a:xfrm>
        <a:prstGeom prst="rect">
          <a:avLst/>
        </a:prstGeom>
      </xdr:spPr>
    </xdr:pic>
    <xdr:clientData/>
  </xdr:twoCellAnchor>
  <xdr:twoCellAnchor editAs="oneCell">
    <xdr:from>
      <xdr:col>0</xdr:col>
      <xdr:colOff>2982</xdr:colOff>
      <xdr:row>1</xdr:row>
      <xdr:rowOff>14836</xdr:rowOff>
    </xdr:from>
    <xdr:to>
      <xdr:col>0</xdr:col>
      <xdr:colOff>7522</xdr:colOff>
      <xdr:row>2</xdr:row>
      <xdr:rowOff>158622</xdr:rowOff>
    </xdr:to>
    <xdr:pic>
      <xdr:nvPicPr>
        <xdr:cNvPr id="14" name="תמונה 13">
          <a:extLst>
            <a:ext uri="{FF2B5EF4-FFF2-40B4-BE49-F238E27FC236}">
              <a16:creationId xmlns:a16="http://schemas.microsoft.com/office/drawing/2014/main" id="{25F5117A-F8A8-9AF4-CD9D-2C586790305F}"/>
            </a:ext>
          </a:extLst>
        </xdr:cNvPr>
        <xdr:cNvPicPr>
          <a:picLocks noChangeAspect="1"/>
        </xdr:cNvPicPr>
      </xdr:nvPicPr>
      <xdr:blipFill>
        <a:blip xmlns:r="http://schemas.openxmlformats.org/officeDocument/2006/relationships" r:embed="rId7"/>
        <a:stretch>
          <a:fillRect/>
        </a:stretch>
      </xdr:blipFill>
      <xdr:spPr>
        <a:xfrm>
          <a:off x="11061239896" y="194945"/>
          <a:ext cx="1514686" cy="323895"/>
        </a:xfrm>
        <a:prstGeom prst="rect">
          <a:avLst/>
        </a:prstGeom>
      </xdr:spPr>
    </xdr:pic>
    <xdr:clientData/>
  </xdr:twoCellAnchor>
  <xdr:twoCellAnchor editAs="oneCell">
    <xdr:from>
      <xdr:col>158</xdr:col>
      <xdr:colOff>117823</xdr:colOff>
      <xdr:row>0</xdr:row>
      <xdr:rowOff>122363</xdr:rowOff>
    </xdr:from>
    <xdr:to>
      <xdr:col>160</xdr:col>
      <xdr:colOff>21065</xdr:colOff>
      <xdr:row>3</xdr:row>
      <xdr:rowOff>8762</xdr:rowOff>
    </xdr:to>
    <xdr:pic>
      <xdr:nvPicPr>
        <xdr:cNvPr id="31" name="תמונה 30">
          <a:extLst>
            <a:ext uri="{FF2B5EF4-FFF2-40B4-BE49-F238E27FC236}">
              <a16:creationId xmlns:a16="http://schemas.microsoft.com/office/drawing/2014/main" id="{986AFFB5-CB82-4DC4-E64F-4F7DDE2736C8}"/>
            </a:ext>
          </a:extLst>
        </xdr:cNvPr>
        <xdr:cNvPicPr>
          <a:picLocks noChangeAspect="1"/>
        </xdr:cNvPicPr>
      </xdr:nvPicPr>
      <xdr:blipFill>
        <a:blip xmlns:r="http://schemas.openxmlformats.org/officeDocument/2006/relationships" r:embed="rId8"/>
        <a:stretch>
          <a:fillRect/>
        </a:stretch>
      </xdr:blipFill>
      <xdr:spPr>
        <a:xfrm>
          <a:off x="10949788306" y="122363"/>
          <a:ext cx="1253071" cy="4089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273426</xdr:colOff>
      <xdr:row>69</xdr:row>
      <xdr:rowOff>138954</xdr:rowOff>
    </xdr:from>
    <xdr:to>
      <xdr:col>7</xdr:col>
      <xdr:colOff>2414069</xdr:colOff>
      <xdr:row>85</xdr:row>
      <xdr:rowOff>138833</xdr:rowOff>
    </xdr:to>
    <xdr:pic>
      <xdr:nvPicPr>
        <xdr:cNvPr id="2" name="תמונה 1">
          <a:extLst>
            <a:ext uri="{FF2B5EF4-FFF2-40B4-BE49-F238E27FC236}">
              <a16:creationId xmlns:a16="http://schemas.microsoft.com/office/drawing/2014/main" id="{F9D280A9-6DE7-4DF5-9CDE-698204036E46}"/>
            </a:ext>
          </a:extLst>
        </xdr:cNvPr>
        <xdr:cNvPicPr>
          <a:picLocks noChangeAspect="1"/>
        </xdr:cNvPicPr>
      </xdr:nvPicPr>
      <xdr:blipFill>
        <a:blip xmlns:r="http://schemas.openxmlformats.org/officeDocument/2006/relationships" r:embed="rId1"/>
        <a:stretch>
          <a:fillRect/>
        </a:stretch>
      </xdr:blipFill>
      <xdr:spPr>
        <a:xfrm>
          <a:off x="10960685754" y="5402974"/>
          <a:ext cx="6149147" cy="2861267"/>
        </a:xfrm>
        <a:prstGeom prst="rect">
          <a:avLst/>
        </a:prstGeom>
      </xdr:spPr>
    </xdr:pic>
    <xdr:clientData/>
  </xdr:twoCellAnchor>
  <xdr:twoCellAnchor editAs="oneCell">
    <xdr:from>
      <xdr:col>0</xdr:col>
      <xdr:colOff>263492</xdr:colOff>
      <xdr:row>43</xdr:row>
      <xdr:rowOff>54236</xdr:rowOff>
    </xdr:from>
    <xdr:to>
      <xdr:col>8</xdr:col>
      <xdr:colOff>417065</xdr:colOff>
      <xdr:row>61</xdr:row>
      <xdr:rowOff>112188</xdr:rowOff>
    </xdr:to>
    <xdr:pic>
      <xdr:nvPicPr>
        <xdr:cNvPr id="3" name="תמונה 2">
          <a:extLst>
            <a:ext uri="{FF2B5EF4-FFF2-40B4-BE49-F238E27FC236}">
              <a16:creationId xmlns:a16="http://schemas.microsoft.com/office/drawing/2014/main" id="{CDF7E60A-9BF4-4C75-BB3C-792AA0C1FAAF}"/>
            </a:ext>
          </a:extLst>
        </xdr:cNvPr>
        <xdr:cNvPicPr>
          <a:picLocks noChangeAspect="1"/>
        </xdr:cNvPicPr>
      </xdr:nvPicPr>
      <xdr:blipFill>
        <a:blip xmlns:r="http://schemas.openxmlformats.org/officeDocument/2006/relationships" r:embed="rId2"/>
        <a:stretch>
          <a:fillRect/>
        </a:stretch>
      </xdr:blipFill>
      <xdr:spPr>
        <a:xfrm>
          <a:off x="11025776723" y="8104542"/>
          <a:ext cx="7522561" cy="3374893"/>
        </a:xfrm>
        <a:prstGeom prst="rect">
          <a:avLst/>
        </a:prstGeom>
      </xdr:spPr>
    </xdr:pic>
    <xdr:clientData/>
  </xdr:twoCellAnchor>
  <xdr:twoCellAnchor editAs="oneCell">
    <xdr:from>
      <xdr:col>0</xdr:col>
      <xdr:colOff>419100</xdr:colOff>
      <xdr:row>249</xdr:row>
      <xdr:rowOff>53340</xdr:rowOff>
    </xdr:from>
    <xdr:to>
      <xdr:col>10</xdr:col>
      <xdr:colOff>390408</xdr:colOff>
      <xdr:row>267</xdr:row>
      <xdr:rowOff>143381</xdr:rowOff>
    </xdr:to>
    <xdr:pic>
      <xdr:nvPicPr>
        <xdr:cNvPr id="9" name="תמונה 8">
          <a:extLst>
            <a:ext uri="{FF2B5EF4-FFF2-40B4-BE49-F238E27FC236}">
              <a16:creationId xmlns:a16="http://schemas.microsoft.com/office/drawing/2014/main" id="{4BE1F2A5-33D0-4FA7-AAC1-C9D2822DEA98}"/>
            </a:ext>
          </a:extLst>
        </xdr:cNvPr>
        <xdr:cNvPicPr>
          <a:picLocks noChangeAspect="1"/>
        </xdr:cNvPicPr>
      </xdr:nvPicPr>
      <xdr:blipFill>
        <a:blip xmlns:r="http://schemas.openxmlformats.org/officeDocument/2006/relationships" r:embed="rId3"/>
        <a:stretch>
          <a:fillRect/>
        </a:stretch>
      </xdr:blipFill>
      <xdr:spPr>
        <a:xfrm>
          <a:off x="10977483149" y="34914840"/>
          <a:ext cx="8926171" cy="3610479"/>
        </a:xfrm>
        <a:prstGeom prst="rect">
          <a:avLst/>
        </a:prstGeom>
      </xdr:spPr>
    </xdr:pic>
    <xdr:clientData/>
  </xdr:twoCellAnchor>
  <xdr:twoCellAnchor editAs="oneCell">
    <xdr:from>
      <xdr:col>1</xdr:col>
      <xdr:colOff>68580</xdr:colOff>
      <xdr:row>279</xdr:row>
      <xdr:rowOff>144780</xdr:rowOff>
    </xdr:from>
    <xdr:to>
      <xdr:col>10</xdr:col>
      <xdr:colOff>1341998</xdr:colOff>
      <xdr:row>299</xdr:row>
      <xdr:rowOff>108398</xdr:rowOff>
    </xdr:to>
    <xdr:pic>
      <xdr:nvPicPr>
        <xdr:cNvPr id="10" name="תמונה 9">
          <a:extLst>
            <a:ext uri="{FF2B5EF4-FFF2-40B4-BE49-F238E27FC236}">
              <a16:creationId xmlns:a16="http://schemas.microsoft.com/office/drawing/2014/main" id="{F616582B-C55F-4B2B-86F6-DF8F09B72273}"/>
            </a:ext>
          </a:extLst>
        </xdr:cNvPr>
        <xdr:cNvPicPr>
          <a:picLocks noChangeAspect="1"/>
        </xdr:cNvPicPr>
      </xdr:nvPicPr>
      <xdr:blipFill>
        <a:blip xmlns:r="http://schemas.openxmlformats.org/officeDocument/2006/relationships" r:embed="rId4"/>
        <a:stretch>
          <a:fillRect/>
        </a:stretch>
      </xdr:blipFill>
      <xdr:spPr>
        <a:xfrm>
          <a:off x="10978653505" y="40744140"/>
          <a:ext cx="9554135" cy="4436559"/>
        </a:xfrm>
        <a:prstGeom prst="rect">
          <a:avLst/>
        </a:prstGeom>
      </xdr:spPr>
    </xdr:pic>
    <xdr:clientData/>
  </xdr:twoCellAnchor>
  <xdr:twoCellAnchor editAs="oneCell">
    <xdr:from>
      <xdr:col>1</xdr:col>
      <xdr:colOff>403860</xdr:colOff>
      <xdr:row>306</xdr:row>
      <xdr:rowOff>22860</xdr:rowOff>
    </xdr:from>
    <xdr:to>
      <xdr:col>10</xdr:col>
      <xdr:colOff>7588</xdr:colOff>
      <xdr:row>332</xdr:row>
      <xdr:rowOff>17913</xdr:rowOff>
    </xdr:to>
    <xdr:pic>
      <xdr:nvPicPr>
        <xdr:cNvPr id="11" name="תמונה 10">
          <a:extLst>
            <a:ext uri="{FF2B5EF4-FFF2-40B4-BE49-F238E27FC236}">
              <a16:creationId xmlns:a16="http://schemas.microsoft.com/office/drawing/2014/main" id="{08AF7AA6-0C28-4116-92A6-B19A21114314}"/>
            </a:ext>
          </a:extLst>
        </xdr:cNvPr>
        <xdr:cNvPicPr>
          <a:picLocks noChangeAspect="1"/>
        </xdr:cNvPicPr>
      </xdr:nvPicPr>
      <xdr:blipFill>
        <a:blip xmlns:r="http://schemas.openxmlformats.org/officeDocument/2006/relationships" r:embed="rId5"/>
        <a:stretch>
          <a:fillRect/>
        </a:stretch>
      </xdr:blipFill>
      <xdr:spPr>
        <a:xfrm>
          <a:off x="10979987915" y="46321980"/>
          <a:ext cx="7884445" cy="4551814"/>
        </a:xfrm>
        <a:prstGeom prst="rect">
          <a:avLst/>
        </a:prstGeom>
      </xdr:spPr>
    </xdr:pic>
    <xdr:clientData/>
  </xdr:twoCellAnchor>
  <xdr:twoCellAnchor editAs="oneCell">
    <xdr:from>
      <xdr:col>2</xdr:col>
      <xdr:colOff>0</xdr:colOff>
      <xdr:row>341</xdr:row>
      <xdr:rowOff>0</xdr:rowOff>
    </xdr:from>
    <xdr:to>
      <xdr:col>10</xdr:col>
      <xdr:colOff>293110</xdr:colOff>
      <xdr:row>358</xdr:row>
      <xdr:rowOff>107112</xdr:rowOff>
    </xdr:to>
    <xdr:pic>
      <xdr:nvPicPr>
        <xdr:cNvPr id="12" name="תמונה 11">
          <a:extLst>
            <a:ext uri="{FF2B5EF4-FFF2-40B4-BE49-F238E27FC236}">
              <a16:creationId xmlns:a16="http://schemas.microsoft.com/office/drawing/2014/main" id="{693E8F4A-972D-4FC1-B5DD-C0437986A4BC}"/>
            </a:ext>
          </a:extLst>
        </xdr:cNvPr>
        <xdr:cNvPicPr>
          <a:picLocks noChangeAspect="1"/>
        </xdr:cNvPicPr>
      </xdr:nvPicPr>
      <xdr:blipFill>
        <a:blip xmlns:r="http://schemas.openxmlformats.org/officeDocument/2006/relationships" r:embed="rId6"/>
        <a:stretch>
          <a:fillRect/>
        </a:stretch>
      </xdr:blipFill>
      <xdr:spPr>
        <a:xfrm>
          <a:off x="10979698807" y="52433220"/>
          <a:ext cx="7906853" cy="3086531"/>
        </a:xfrm>
        <a:prstGeom prst="rect">
          <a:avLst/>
        </a:prstGeom>
      </xdr:spPr>
    </xdr:pic>
    <xdr:clientData/>
  </xdr:twoCellAnchor>
  <xdr:twoCellAnchor editAs="oneCell">
    <xdr:from>
      <xdr:col>2</xdr:col>
      <xdr:colOff>0</xdr:colOff>
      <xdr:row>364</xdr:row>
      <xdr:rowOff>0</xdr:rowOff>
    </xdr:from>
    <xdr:to>
      <xdr:col>10</xdr:col>
      <xdr:colOff>1449382</xdr:colOff>
      <xdr:row>381</xdr:row>
      <xdr:rowOff>126164</xdr:rowOff>
    </xdr:to>
    <xdr:pic>
      <xdr:nvPicPr>
        <xdr:cNvPr id="13" name="תמונה 12">
          <a:extLst>
            <a:ext uri="{FF2B5EF4-FFF2-40B4-BE49-F238E27FC236}">
              <a16:creationId xmlns:a16="http://schemas.microsoft.com/office/drawing/2014/main" id="{45412005-7D00-4495-A862-C3266231185A}"/>
            </a:ext>
          </a:extLst>
        </xdr:cNvPr>
        <xdr:cNvPicPr>
          <a:picLocks noChangeAspect="1"/>
        </xdr:cNvPicPr>
      </xdr:nvPicPr>
      <xdr:blipFill>
        <a:blip xmlns:r="http://schemas.openxmlformats.org/officeDocument/2006/relationships" r:embed="rId7"/>
        <a:stretch>
          <a:fillRect/>
        </a:stretch>
      </xdr:blipFill>
      <xdr:spPr>
        <a:xfrm>
          <a:off x="10978546121" y="56464200"/>
          <a:ext cx="9059539" cy="3105583"/>
        </a:xfrm>
        <a:prstGeom prst="rect">
          <a:avLst/>
        </a:prstGeom>
      </xdr:spPr>
    </xdr:pic>
    <xdr:clientData/>
  </xdr:twoCellAnchor>
  <xdr:twoCellAnchor editAs="oneCell">
    <xdr:from>
      <xdr:col>0</xdr:col>
      <xdr:colOff>0</xdr:colOff>
      <xdr:row>105</xdr:row>
      <xdr:rowOff>44824</xdr:rowOff>
    </xdr:from>
    <xdr:to>
      <xdr:col>10</xdr:col>
      <xdr:colOff>923271</xdr:colOff>
      <xdr:row>138</xdr:row>
      <xdr:rowOff>125234</xdr:rowOff>
    </xdr:to>
    <xdr:pic>
      <xdr:nvPicPr>
        <xdr:cNvPr id="15" name="תמונה 14">
          <a:extLst>
            <a:ext uri="{FF2B5EF4-FFF2-40B4-BE49-F238E27FC236}">
              <a16:creationId xmlns:a16="http://schemas.microsoft.com/office/drawing/2014/main" id="{FBB79E68-6832-8EDD-1D1D-EF93150C1F83}"/>
            </a:ext>
          </a:extLst>
        </xdr:cNvPr>
        <xdr:cNvPicPr>
          <a:picLocks noChangeAspect="1"/>
        </xdr:cNvPicPr>
      </xdr:nvPicPr>
      <xdr:blipFill>
        <a:blip xmlns:r="http://schemas.openxmlformats.org/officeDocument/2006/relationships" r:embed="rId8"/>
        <a:stretch>
          <a:fillRect/>
        </a:stretch>
      </xdr:blipFill>
      <xdr:spPr>
        <a:xfrm>
          <a:off x="11023773411" y="19301012"/>
          <a:ext cx="9887977" cy="6077798"/>
        </a:xfrm>
        <a:prstGeom prst="rect">
          <a:avLst/>
        </a:prstGeom>
      </xdr:spPr>
    </xdr:pic>
    <xdr:clientData/>
  </xdr:twoCellAnchor>
  <xdr:twoCellAnchor editAs="oneCell">
    <xdr:from>
      <xdr:col>0</xdr:col>
      <xdr:colOff>0</xdr:colOff>
      <xdr:row>0</xdr:row>
      <xdr:rowOff>0</xdr:rowOff>
    </xdr:from>
    <xdr:to>
      <xdr:col>10</xdr:col>
      <xdr:colOff>1640541</xdr:colOff>
      <xdr:row>36</xdr:row>
      <xdr:rowOff>95292</xdr:rowOff>
    </xdr:to>
    <xdr:pic>
      <xdr:nvPicPr>
        <xdr:cNvPr id="4" name="תמונה 3">
          <a:extLst>
            <a:ext uri="{FF2B5EF4-FFF2-40B4-BE49-F238E27FC236}">
              <a16:creationId xmlns:a16="http://schemas.microsoft.com/office/drawing/2014/main" id="{6B153793-7A2F-48D9-9FF7-261E3B198E83}"/>
            </a:ext>
          </a:extLst>
        </xdr:cNvPr>
        <xdr:cNvPicPr>
          <a:picLocks noChangeAspect="1"/>
        </xdr:cNvPicPr>
      </xdr:nvPicPr>
      <xdr:blipFill>
        <a:blip xmlns:r="http://schemas.openxmlformats.org/officeDocument/2006/relationships" r:embed="rId9"/>
        <a:stretch>
          <a:fillRect/>
        </a:stretch>
      </xdr:blipFill>
      <xdr:spPr>
        <a:xfrm>
          <a:off x="11020312941" y="0"/>
          <a:ext cx="10605247" cy="67650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9</xdr:row>
      <xdr:rowOff>15240</xdr:rowOff>
    </xdr:from>
    <xdr:to>
      <xdr:col>1</xdr:col>
      <xdr:colOff>5287008</xdr:colOff>
      <xdr:row>25</xdr:row>
      <xdr:rowOff>129540</xdr:rowOff>
    </xdr:to>
    <xdr:pic>
      <xdr:nvPicPr>
        <xdr:cNvPr id="2" name="תמונה 1">
          <a:extLst>
            <a:ext uri="{FF2B5EF4-FFF2-40B4-BE49-F238E27FC236}">
              <a16:creationId xmlns:a16="http://schemas.microsoft.com/office/drawing/2014/main" id="{8DE517BF-8E46-4E9D-9488-10417F4153D5}"/>
            </a:ext>
          </a:extLst>
        </xdr:cNvPr>
        <xdr:cNvPicPr>
          <a:picLocks noChangeAspect="1"/>
        </xdr:cNvPicPr>
      </xdr:nvPicPr>
      <xdr:blipFill>
        <a:blip xmlns:r="http://schemas.openxmlformats.org/officeDocument/2006/relationships" r:embed="rId1"/>
        <a:stretch>
          <a:fillRect/>
        </a:stretch>
      </xdr:blipFill>
      <xdr:spPr>
        <a:xfrm>
          <a:off x="10997200512" y="190500"/>
          <a:ext cx="5957567" cy="2933700"/>
        </a:xfrm>
        <a:prstGeom prst="rect">
          <a:avLst/>
        </a:prstGeom>
      </xdr:spPr>
    </xdr:pic>
    <xdr:clientData/>
  </xdr:twoCellAnchor>
  <xdr:twoCellAnchor editAs="oneCell">
    <xdr:from>
      <xdr:col>0</xdr:col>
      <xdr:colOff>0</xdr:colOff>
      <xdr:row>26</xdr:row>
      <xdr:rowOff>86891</xdr:rowOff>
    </xdr:from>
    <xdr:to>
      <xdr:col>1</xdr:col>
      <xdr:colOff>5539740</xdr:colOff>
      <xdr:row>37</xdr:row>
      <xdr:rowOff>68692</xdr:rowOff>
    </xdr:to>
    <xdr:pic>
      <xdr:nvPicPr>
        <xdr:cNvPr id="3" name="תמונה 2">
          <a:extLst>
            <a:ext uri="{FF2B5EF4-FFF2-40B4-BE49-F238E27FC236}">
              <a16:creationId xmlns:a16="http://schemas.microsoft.com/office/drawing/2014/main" id="{DAAA967F-12EA-4F01-8E43-BC43DCF419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002540860" y="3393971"/>
          <a:ext cx="6210300" cy="1924901"/>
        </a:xfrm>
        <a:prstGeom prst="rect">
          <a:avLst/>
        </a:prstGeom>
      </xdr:spPr>
    </xdr:pic>
    <xdr:clientData/>
  </xdr:twoCellAnchor>
  <xdr:twoCellAnchor editAs="oneCell">
    <xdr:from>
      <xdr:col>0</xdr:col>
      <xdr:colOff>64477</xdr:colOff>
      <xdr:row>38</xdr:row>
      <xdr:rowOff>116653</xdr:rowOff>
    </xdr:from>
    <xdr:to>
      <xdr:col>1</xdr:col>
      <xdr:colOff>5223217</xdr:colOff>
      <xdr:row>50</xdr:row>
      <xdr:rowOff>54615</xdr:rowOff>
    </xdr:to>
    <xdr:pic>
      <xdr:nvPicPr>
        <xdr:cNvPr id="4" name="תמונה 3">
          <a:extLst>
            <a:ext uri="{FF2B5EF4-FFF2-40B4-BE49-F238E27FC236}">
              <a16:creationId xmlns:a16="http://schemas.microsoft.com/office/drawing/2014/main" id="{9F2AB93B-231A-D1CF-034E-E861C7F126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965261476" y="5550299"/>
          <a:ext cx="5826955" cy="2089146"/>
        </a:xfrm>
        <a:prstGeom prst="rect">
          <a:avLst/>
        </a:prstGeom>
      </xdr:spPr>
    </xdr:pic>
    <xdr:clientData/>
  </xdr:twoCellAnchor>
  <xdr:twoCellAnchor editAs="oneCell">
    <xdr:from>
      <xdr:col>0</xdr:col>
      <xdr:colOff>26894</xdr:colOff>
      <xdr:row>146</xdr:row>
      <xdr:rowOff>105020</xdr:rowOff>
    </xdr:from>
    <xdr:to>
      <xdr:col>3</xdr:col>
      <xdr:colOff>745939</xdr:colOff>
      <xdr:row>168</xdr:row>
      <xdr:rowOff>53790</xdr:rowOff>
    </xdr:to>
    <xdr:pic>
      <xdr:nvPicPr>
        <xdr:cNvPr id="5" name="תמונה 4">
          <a:extLst>
            <a:ext uri="{FF2B5EF4-FFF2-40B4-BE49-F238E27FC236}">
              <a16:creationId xmlns:a16="http://schemas.microsoft.com/office/drawing/2014/main" id="{3E4BAAA7-FB90-2139-18C5-B70A82C2A0D9}"/>
            </a:ext>
          </a:extLst>
        </xdr:cNvPr>
        <xdr:cNvPicPr>
          <a:picLocks noChangeAspect="1"/>
        </xdr:cNvPicPr>
      </xdr:nvPicPr>
      <xdr:blipFill>
        <a:blip xmlns:r="http://schemas.openxmlformats.org/officeDocument/2006/relationships" r:embed="rId4"/>
        <a:stretch>
          <a:fillRect/>
        </a:stretch>
      </xdr:blipFill>
      <xdr:spPr>
        <a:xfrm>
          <a:off x="11029948132" y="26891561"/>
          <a:ext cx="9307233" cy="3893241"/>
        </a:xfrm>
        <a:prstGeom prst="rect">
          <a:avLst/>
        </a:prstGeom>
      </xdr:spPr>
    </xdr:pic>
    <xdr:clientData/>
  </xdr:twoCellAnchor>
  <xdr:twoCellAnchor editAs="oneCell">
    <xdr:from>
      <xdr:col>0</xdr:col>
      <xdr:colOff>0</xdr:colOff>
      <xdr:row>169</xdr:row>
      <xdr:rowOff>65924</xdr:rowOff>
    </xdr:from>
    <xdr:to>
      <xdr:col>3</xdr:col>
      <xdr:colOff>457200</xdr:colOff>
      <xdr:row>197</xdr:row>
      <xdr:rowOff>168494</xdr:rowOff>
    </xdr:to>
    <xdr:pic>
      <xdr:nvPicPr>
        <xdr:cNvPr id="6" name="תמונה 5">
          <a:extLst>
            <a:ext uri="{FF2B5EF4-FFF2-40B4-BE49-F238E27FC236}">
              <a16:creationId xmlns:a16="http://schemas.microsoft.com/office/drawing/2014/main" id="{0F3F59DB-8899-C725-FCD9-9A15E028F3DE}"/>
            </a:ext>
          </a:extLst>
        </xdr:cNvPr>
        <xdr:cNvPicPr>
          <a:picLocks noChangeAspect="1"/>
        </xdr:cNvPicPr>
      </xdr:nvPicPr>
      <xdr:blipFill>
        <a:blip xmlns:r="http://schemas.openxmlformats.org/officeDocument/2006/relationships" r:embed="rId5"/>
        <a:stretch>
          <a:fillRect/>
        </a:stretch>
      </xdr:blipFill>
      <xdr:spPr>
        <a:xfrm>
          <a:off x="11030236871" y="30976230"/>
          <a:ext cx="9045388" cy="5122805"/>
        </a:xfrm>
        <a:prstGeom prst="rect">
          <a:avLst/>
        </a:prstGeom>
      </xdr:spPr>
    </xdr:pic>
    <xdr:clientData/>
  </xdr:twoCellAnchor>
  <xdr:twoCellAnchor editAs="oneCell">
    <xdr:from>
      <xdr:col>0</xdr:col>
      <xdr:colOff>0</xdr:colOff>
      <xdr:row>108</xdr:row>
      <xdr:rowOff>16585</xdr:rowOff>
    </xdr:from>
    <xdr:to>
      <xdr:col>2</xdr:col>
      <xdr:colOff>1596832</xdr:colOff>
      <xdr:row>136</xdr:row>
      <xdr:rowOff>20662</xdr:rowOff>
    </xdr:to>
    <xdr:pic>
      <xdr:nvPicPr>
        <xdr:cNvPr id="8" name="תמונה 7">
          <a:extLst>
            <a:ext uri="{FF2B5EF4-FFF2-40B4-BE49-F238E27FC236}">
              <a16:creationId xmlns:a16="http://schemas.microsoft.com/office/drawing/2014/main" id="{8E6AB9DE-16FB-45EB-8D05-4DB37CFAE170}"/>
            </a:ext>
          </a:extLst>
        </xdr:cNvPr>
        <xdr:cNvPicPr>
          <a:picLocks noChangeAspect="1"/>
        </xdr:cNvPicPr>
      </xdr:nvPicPr>
      <xdr:blipFill>
        <a:blip xmlns:r="http://schemas.openxmlformats.org/officeDocument/2006/relationships" r:embed="rId6"/>
        <a:stretch>
          <a:fillRect/>
        </a:stretch>
      </xdr:blipFill>
      <xdr:spPr>
        <a:xfrm>
          <a:off x="11030881215" y="19918232"/>
          <a:ext cx="7970738" cy="5096030"/>
        </a:xfrm>
        <a:prstGeom prst="rect">
          <a:avLst/>
        </a:prstGeom>
      </xdr:spPr>
    </xdr:pic>
    <xdr:clientData/>
  </xdr:twoCellAnchor>
  <xdr:twoCellAnchor editAs="oneCell">
    <xdr:from>
      <xdr:col>0</xdr:col>
      <xdr:colOff>0</xdr:colOff>
      <xdr:row>58</xdr:row>
      <xdr:rowOff>100594</xdr:rowOff>
    </xdr:from>
    <xdr:to>
      <xdr:col>2</xdr:col>
      <xdr:colOff>938363</xdr:colOff>
      <xdr:row>75</xdr:row>
      <xdr:rowOff>126520</xdr:rowOff>
    </xdr:to>
    <xdr:pic>
      <xdr:nvPicPr>
        <xdr:cNvPr id="9" name="תמונה 8">
          <a:extLst>
            <a:ext uri="{FF2B5EF4-FFF2-40B4-BE49-F238E27FC236}">
              <a16:creationId xmlns:a16="http://schemas.microsoft.com/office/drawing/2014/main" id="{95A24CF2-FE50-4255-99C5-7268B826FC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0963848914" y="9098056"/>
          <a:ext cx="7303994" cy="3073926"/>
        </a:xfrm>
        <a:prstGeom prst="rect">
          <a:avLst/>
        </a:prstGeom>
      </xdr:spPr>
    </xdr:pic>
    <xdr:clientData/>
  </xdr:twoCellAnchor>
  <xdr:twoCellAnchor editAs="oneCell">
    <xdr:from>
      <xdr:col>1</xdr:col>
      <xdr:colOff>1781650</xdr:colOff>
      <xdr:row>44</xdr:row>
      <xdr:rowOff>28920</xdr:rowOff>
    </xdr:from>
    <xdr:to>
      <xdr:col>1</xdr:col>
      <xdr:colOff>2326690</xdr:colOff>
      <xdr:row>44</xdr:row>
      <xdr:rowOff>52680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
          <xdr14:nvContentPartPr>
            <xdr14:cNvPr id="17" name="דיו 16">
              <a:extLst>
                <a:ext uri="{FF2B5EF4-FFF2-40B4-BE49-F238E27FC236}">
                  <a16:creationId xmlns:a16="http://schemas.microsoft.com/office/drawing/2014/main" id="{DC3597F7-4AFC-C6CF-945A-8D2CDB11E176}"/>
                </a:ext>
              </a:extLst>
            </xdr14:cNvPr>
            <xdr14:cNvContentPartPr/>
          </xdr14:nvContentPartPr>
          <xdr14:nvPr macro=""/>
          <xdr14:xfrm>
            <a:off x="10968158003" y="6523505"/>
            <a:ext cx="545040" cy="23760"/>
          </xdr14:xfrm>
        </xdr:contentPart>
      </mc:Choice>
      <mc:Fallback xmlns="">
        <xdr:pic>
          <xdr:nvPicPr>
            <xdr:cNvPr id="17" name="דיו 16">
              <a:extLst>
                <a:ext uri="{FF2B5EF4-FFF2-40B4-BE49-F238E27FC236}">
                  <a16:creationId xmlns:a16="http://schemas.microsoft.com/office/drawing/2014/main" id="{DC3597F7-4AFC-C6CF-945A-8D2CDB11E176}"/>
                </a:ext>
              </a:extLst>
            </xdr:cNvPr>
            <xdr:cNvPicPr/>
          </xdr:nvPicPr>
          <xdr:blipFill>
            <a:blip xmlns:r="http://schemas.openxmlformats.org/officeDocument/2006/relationships" r:embed="rId9"/>
            <a:stretch>
              <a:fillRect/>
            </a:stretch>
          </xdr:blipFill>
          <xdr:spPr>
            <a:xfrm>
              <a:off x="10968149363" y="6514505"/>
              <a:ext cx="562680" cy="414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24787</xdr:rowOff>
    </xdr:from>
    <xdr:to>
      <xdr:col>6</xdr:col>
      <xdr:colOff>1143000</xdr:colOff>
      <xdr:row>11</xdr:row>
      <xdr:rowOff>57538</xdr:rowOff>
    </xdr:to>
    <xdr:pic>
      <xdr:nvPicPr>
        <xdr:cNvPr id="2" name="תמונה 1">
          <a:extLst>
            <a:ext uri="{FF2B5EF4-FFF2-40B4-BE49-F238E27FC236}">
              <a16:creationId xmlns:a16="http://schemas.microsoft.com/office/drawing/2014/main" id="{DBEC232F-E37B-E351-7957-4FEA0EB45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5945659" y="1167787"/>
          <a:ext cx="5905500" cy="1764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68580</xdr:rowOff>
    </xdr:from>
    <xdr:to>
      <xdr:col>8</xdr:col>
      <xdr:colOff>41557</xdr:colOff>
      <xdr:row>24</xdr:row>
      <xdr:rowOff>51954</xdr:rowOff>
    </xdr:to>
    <xdr:pic>
      <xdr:nvPicPr>
        <xdr:cNvPr id="3" name="תמונה 2">
          <a:extLst>
            <a:ext uri="{FF2B5EF4-FFF2-40B4-BE49-F238E27FC236}">
              <a16:creationId xmlns:a16="http://schemas.microsoft.com/office/drawing/2014/main" id="{68CC22EC-E81A-686E-D782-E0A11FB13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24535966" y="3289762"/>
          <a:ext cx="7315193" cy="188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68580</xdr:rowOff>
    </xdr:from>
    <xdr:to>
      <xdr:col>10</xdr:col>
      <xdr:colOff>701039</xdr:colOff>
      <xdr:row>37</xdr:row>
      <xdr:rowOff>53340</xdr:rowOff>
    </xdr:to>
    <xdr:pic>
      <xdr:nvPicPr>
        <xdr:cNvPr id="8" name="תמונה 7">
          <a:extLst>
            <a:ext uri="{FF2B5EF4-FFF2-40B4-BE49-F238E27FC236}">
              <a16:creationId xmlns:a16="http://schemas.microsoft.com/office/drawing/2014/main" id="{C884AB29-29E7-4E57-83BB-A64B37BAB1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81395361" y="5532120"/>
          <a:ext cx="9342119"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88</xdr:row>
      <xdr:rowOff>27363</xdr:rowOff>
    </xdr:from>
    <xdr:to>
      <xdr:col>10</xdr:col>
      <xdr:colOff>1675936</xdr:colOff>
      <xdr:row>105</xdr:row>
      <xdr:rowOff>77317</xdr:rowOff>
    </xdr:to>
    <xdr:pic>
      <xdr:nvPicPr>
        <xdr:cNvPr id="9" name="תמונה 8">
          <a:extLst>
            <a:ext uri="{FF2B5EF4-FFF2-40B4-BE49-F238E27FC236}">
              <a16:creationId xmlns:a16="http://schemas.microsoft.com/office/drawing/2014/main" id="{0BC7B141-7FB7-9EAD-0604-80625B91F910}"/>
            </a:ext>
          </a:extLst>
        </xdr:cNvPr>
        <xdr:cNvPicPr>
          <a:picLocks noChangeAspect="1"/>
        </xdr:cNvPicPr>
      </xdr:nvPicPr>
      <xdr:blipFill>
        <a:blip xmlns:r="http://schemas.openxmlformats.org/officeDocument/2006/relationships" r:embed="rId4"/>
        <a:stretch>
          <a:fillRect/>
        </a:stretch>
      </xdr:blipFill>
      <xdr:spPr>
        <a:xfrm>
          <a:off x="10921568087" y="16748068"/>
          <a:ext cx="10283071" cy="2994044"/>
        </a:xfrm>
        <a:prstGeom prst="rect">
          <a:avLst/>
        </a:prstGeom>
      </xdr:spPr>
    </xdr:pic>
    <xdr:clientData/>
  </xdr:twoCellAnchor>
  <xdr:twoCellAnchor editAs="oneCell">
    <xdr:from>
      <xdr:col>0</xdr:col>
      <xdr:colOff>528897</xdr:colOff>
      <xdr:row>128</xdr:row>
      <xdr:rowOff>167640</xdr:rowOff>
    </xdr:from>
    <xdr:to>
      <xdr:col>6</xdr:col>
      <xdr:colOff>233929</xdr:colOff>
      <xdr:row>131</xdr:row>
      <xdr:rowOff>120219</xdr:rowOff>
    </xdr:to>
    <xdr:pic>
      <xdr:nvPicPr>
        <xdr:cNvPr id="12" name="תמונה 11">
          <a:extLst>
            <a:ext uri="{FF2B5EF4-FFF2-40B4-BE49-F238E27FC236}">
              <a16:creationId xmlns:a16="http://schemas.microsoft.com/office/drawing/2014/main" id="{6826881C-D030-9BDE-BAD4-05BD460FD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26854730" y="24023435"/>
          <a:ext cx="4467532" cy="47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192924</xdr:colOff>
      <xdr:row>124</xdr:row>
      <xdr:rowOff>38100</xdr:rowOff>
    </xdr:from>
    <xdr:to>
      <xdr:col>11</xdr:col>
      <xdr:colOff>631135</xdr:colOff>
      <xdr:row>126</xdr:row>
      <xdr:rowOff>141047</xdr:rowOff>
    </xdr:to>
    <xdr:pic>
      <xdr:nvPicPr>
        <xdr:cNvPr id="13" name="תמונה 12">
          <a:extLst>
            <a:ext uri="{FF2B5EF4-FFF2-40B4-BE49-F238E27FC236}">
              <a16:creationId xmlns:a16="http://schemas.microsoft.com/office/drawing/2014/main" id="{EBE9CBF5-6E10-7C1A-4315-85521661075D}"/>
            </a:ext>
          </a:extLst>
        </xdr:cNvPr>
        <xdr:cNvPicPr>
          <a:picLocks noChangeAspect="1"/>
        </xdr:cNvPicPr>
      </xdr:nvPicPr>
      <xdr:blipFill>
        <a:blip xmlns:r="http://schemas.openxmlformats.org/officeDocument/2006/relationships" r:embed="rId6"/>
        <a:stretch>
          <a:fillRect/>
        </a:stretch>
      </xdr:blipFill>
      <xdr:spPr>
        <a:xfrm>
          <a:off x="10920759842" y="23097259"/>
          <a:ext cx="438211" cy="553220"/>
        </a:xfrm>
        <a:prstGeom prst="rect">
          <a:avLst/>
        </a:prstGeom>
      </xdr:spPr>
    </xdr:pic>
    <xdr:clientData/>
  </xdr:twoCellAnchor>
  <xdr:twoCellAnchor editAs="oneCell">
    <xdr:from>
      <xdr:col>0</xdr:col>
      <xdr:colOff>121920</xdr:colOff>
      <xdr:row>134</xdr:row>
      <xdr:rowOff>121920</xdr:rowOff>
    </xdr:from>
    <xdr:to>
      <xdr:col>10</xdr:col>
      <xdr:colOff>721380</xdr:colOff>
      <xdr:row>155</xdr:row>
      <xdr:rowOff>166282</xdr:rowOff>
    </xdr:to>
    <xdr:pic>
      <xdr:nvPicPr>
        <xdr:cNvPr id="14" name="תמונה 13">
          <a:extLst>
            <a:ext uri="{FF2B5EF4-FFF2-40B4-BE49-F238E27FC236}">
              <a16:creationId xmlns:a16="http://schemas.microsoft.com/office/drawing/2014/main" id="{21355C07-6695-9722-AF62-1C14D814CC66}"/>
            </a:ext>
          </a:extLst>
        </xdr:cNvPr>
        <xdr:cNvPicPr>
          <a:picLocks noChangeAspect="1"/>
        </xdr:cNvPicPr>
      </xdr:nvPicPr>
      <xdr:blipFill>
        <a:blip xmlns:r="http://schemas.openxmlformats.org/officeDocument/2006/relationships" r:embed="rId7"/>
        <a:stretch>
          <a:fillRect/>
        </a:stretch>
      </xdr:blipFill>
      <xdr:spPr>
        <a:xfrm>
          <a:off x="10982556120" y="25267920"/>
          <a:ext cx="9240540" cy="3915321"/>
        </a:xfrm>
        <a:prstGeom prst="rect">
          <a:avLst/>
        </a:prstGeom>
      </xdr:spPr>
    </xdr:pic>
    <xdr:clientData/>
  </xdr:twoCellAnchor>
  <xdr:twoCellAnchor editAs="oneCell">
    <xdr:from>
      <xdr:col>1</xdr:col>
      <xdr:colOff>50916</xdr:colOff>
      <xdr:row>160</xdr:row>
      <xdr:rowOff>81049</xdr:rowOff>
    </xdr:from>
    <xdr:to>
      <xdr:col>8</xdr:col>
      <xdr:colOff>428106</xdr:colOff>
      <xdr:row>184</xdr:row>
      <xdr:rowOff>86590</xdr:rowOff>
    </xdr:to>
    <xdr:pic>
      <xdr:nvPicPr>
        <xdr:cNvPr id="15" name="תמונה 14">
          <a:extLst>
            <a:ext uri="{FF2B5EF4-FFF2-40B4-BE49-F238E27FC236}">
              <a16:creationId xmlns:a16="http://schemas.microsoft.com/office/drawing/2014/main" id="{ACEF926A-27EC-4C02-9AD2-0AFC314FEA0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24149417" y="29695140"/>
          <a:ext cx="6984076" cy="416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601980</xdr:colOff>
      <xdr:row>168</xdr:row>
      <xdr:rowOff>114300</xdr:rowOff>
    </xdr:from>
    <xdr:to>
      <xdr:col>15</xdr:col>
      <xdr:colOff>108878</xdr:colOff>
      <xdr:row>173</xdr:row>
      <xdr:rowOff>144781</xdr:rowOff>
    </xdr:to>
    <xdr:pic>
      <xdr:nvPicPr>
        <xdr:cNvPr id="16" name="תמונה 15">
          <a:extLst>
            <a:ext uri="{FF2B5EF4-FFF2-40B4-BE49-F238E27FC236}">
              <a16:creationId xmlns:a16="http://schemas.microsoft.com/office/drawing/2014/main" id="{4C60B00B-195C-6CCD-2F11-CA401FFBB5DB}"/>
            </a:ext>
          </a:extLst>
        </xdr:cNvPr>
        <xdr:cNvPicPr>
          <a:picLocks noChangeAspect="1"/>
        </xdr:cNvPicPr>
      </xdr:nvPicPr>
      <xdr:blipFill>
        <a:blip xmlns:r="http://schemas.openxmlformats.org/officeDocument/2006/relationships" r:embed="rId9"/>
        <a:stretch>
          <a:fillRect/>
        </a:stretch>
      </xdr:blipFill>
      <xdr:spPr>
        <a:xfrm>
          <a:off x="10973094982" y="29085540"/>
          <a:ext cx="6387758" cy="906780"/>
        </a:xfrm>
        <a:prstGeom prst="rect">
          <a:avLst/>
        </a:prstGeom>
      </xdr:spPr>
    </xdr:pic>
    <xdr:clientData/>
  </xdr:twoCellAnchor>
  <xdr:twoCellAnchor editAs="oneCell">
    <xdr:from>
      <xdr:col>0</xdr:col>
      <xdr:colOff>289560</xdr:colOff>
      <xdr:row>52</xdr:row>
      <xdr:rowOff>11180</xdr:rowOff>
    </xdr:from>
    <xdr:to>
      <xdr:col>6</xdr:col>
      <xdr:colOff>396240</xdr:colOff>
      <xdr:row>63</xdr:row>
      <xdr:rowOff>52961</xdr:rowOff>
    </xdr:to>
    <xdr:pic>
      <xdr:nvPicPr>
        <xdr:cNvPr id="21" name="תמונה 20">
          <a:extLst>
            <a:ext uri="{FF2B5EF4-FFF2-40B4-BE49-F238E27FC236}">
              <a16:creationId xmlns:a16="http://schemas.microsoft.com/office/drawing/2014/main" id="{9A9D52BF-B73D-F023-B85E-C6AEB83DF7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10986736980" y="10534400"/>
          <a:ext cx="4892040" cy="1969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63</xdr:row>
      <xdr:rowOff>167640</xdr:rowOff>
    </xdr:from>
    <xdr:to>
      <xdr:col>11</xdr:col>
      <xdr:colOff>258221</xdr:colOff>
      <xdr:row>68</xdr:row>
      <xdr:rowOff>111472</xdr:rowOff>
    </xdr:to>
    <xdr:pic>
      <xdr:nvPicPr>
        <xdr:cNvPr id="22" name="תמונה 21">
          <a:extLst>
            <a:ext uri="{FF2B5EF4-FFF2-40B4-BE49-F238E27FC236}">
              <a16:creationId xmlns:a16="http://schemas.microsoft.com/office/drawing/2014/main" id="{0C8DADA5-7DD3-A12D-8671-C61BFB1F69C3}"/>
            </a:ext>
          </a:extLst>
        </xdr:cNvPr>
        <xdr:cNvPicPr>
          <a:picLocks noChangeAspect="1"/>
        </xdr:cNvPicPr>
      </xdr:nvPicPr>
      <xdr:blipFill>
        <a:blip xmlns:r="http://schemas.openxmlformats.org/officeDocument/2006/relationships" r:embed="rId11"/>
        <a:stretch>
          <a:fillRect/>
        </a:stretch>
      </xdr:blipFill>
      <xdr:spPr>
        <a:xfrm>
          <a:off x="10981167619" y="12618720"/>
          <a:ext cx="7497221" cy="828791"/>
        </a:xfrm>
        <a:prstGeom prst="rect">
          <a:avLst/>
        </a:prstGeom>
      </xdr:spPr>
    </xdr:pic>
    <xdr:clientData/>
  </xdr:twoCellAnchor>
  <xdr:twoCellAnchor editAs="oneCell">
    <xdr:from>
      <xdr:col>6</xdr:col>
      <xdr:colOff>224444</xdr:colOff>
      <xdr:row>69</xdr:row>
      <xdr:rowOff>151706</xdr:rowOff>
    </xdr:from>
    <xdr:to>
      <xdr:col>11</xdr:col>
      <xdr:colOff>116419</xdr:colOff>
      <xdr:row>79</xdr:row>
      <xdr:rowOff>42293</xdr:rowOff>
    </xdr:to>
    <xdr:pic>
      <xdr:nvPicPr>
        <xdr:cNvPr id="23" name="תמונה 22">
          <a:extLst>
            <a:ext uri="{FF2B5EF4-FFF2-40B4-BE49-F238E27FC236}">
              <a16:creationId xmlns:a16="http://schemas.microsoft.com/office/drawing/2014/main" id="{61C33D53-9FF6-46CB-BB35-C3C5C4699373}"/>
            </a:ext>
          </a:extLst>
        </xdr:cNvPr>
        <xdr:cNvPicPr>
          <a:picLocks noChangeAspect="1"/>
        </xdr:cNvPicPr>
      </xdr:nvPicPr>
      <xdr:blipFill>
        <a:blip xmlns:r="http://schemas.openxmlformats.org/officeDocument/2006/relationships" r:embed="rId12"/>
        <a:stretch>
          <a:fillRect/>
        </a:stretch>
      </xdr:blipFill>
      <xdr:spPr>
        <a:xfrm>
          <a:off x="10921274558" y="13538661"/>
          <a:ext cx="5589657" cy="1665700"/>
        </a:xfrm>
        <a:prstGeom prst="rect">
          <a:avLst/>
        </a:prstGeom>
      </xdr:spPr>
    </xdr:pic>
    <xdr:clientData/>
  </xdr:twoCellAnchor>
  <xdr:twoCellAnchor editAs="oneCell">
    <xdr:from>
      <xdr:col>0</xdr:col>
      <xdr:colOff>640080</xdr:colOff>
      <xdr:row>81</xdr:row>
      <xdr:rowOff>60959</xdr:rowOff>
    </xdr:from>
    <xdr:to>
      <xdr:col>10</xdr:col>
      <xdr:colOff>830580</xdr:colOff>
      <xdr:row>86</xdr:row>
      <xdr:rowOff>125481</xdr:rowOff>
    </xdr:to>
    <xdr:pic>
      <xdr:nvPicPr>
        <xdr:cNvPr id="24" name="תמונה 23">
          <a:extLst>
            <a:ext uri="{FF2B5EF4-FFF2-40B4-BE49-F238E27FC236}">
              <a16:creationId xmlns:a16="http://schemas.microsoft.com/office/drawing/2014/main" id="{A5BA545B-EF54-4291-A77F-B55A9753B1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81265820" y="13639799"/>
          <a:ext cx="8831580" cy="94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112569</xdr:colOff>
      <xdr:row>19</xdr:row>
      <xdr:rowOff>145841</xdr:rowOff>
    </xdr:from>
    <xdr:to>
      <xdr:col>14</xdr:col>
      <xdr:colOff>2390949</xdr:colOff>
      <xdr:row>23</xdr:row>
      <xdr:rowOff>170508</xdr:rowOff>
    </xdr:to>
    <xdr:pic>
      <xdr:nvPicPr>
        <xdr:cNvPr id="5" name="תמונה 4">
          <a:extLst>
            <a:ext uri="{FF2B5EF4-FFF2-40B4-BE49-F238E27FC236}">
              <a16:creationId xmlns:a16="http://schemas.microsoft.com/office/drawing/2014/main" id="{96D37BB7-C3EB-4C96-ADF7-CA658B3867C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16999778" y="4406114"/>
          <a:ext cx="6798426" cy="717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1759271</xdr:colOff>
      <xdr:row>19</xdr:row>
      <xdr:rowOff>86203</xdr:rowOff>
    </xdr:from>
    <xdr:to>
      <xdr:col>10</xdr:col>
      <xdr:colOff>1775111</xdr:colOff>
      <xdr:row>19</xdr:row>
      <xdr:rowOff>95203</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56" name="דיו 55">
              <a:extLst>
                <a:ext uri="{FF2B5EF4-FFF2-40B4-BE49-F238E27FC236}">
                  <a16:creationId xmlns:a16="http://schemas.microsoft.com/office/drawing/2014/main" id="{94D628E4-C19C-73CA-FCB4-E2A21AA2E578}"/>
                </a:ext>
              </a:extLst>
            </xdr14:cNvPr>
            <xdr14:cNvContentPartPr/>
          </xdr14:nvContentPartPr>
          <xdr14:nvPr macro=""/>
          <xdr14:xfrm>
            <a:off x="10921468912" y="4346476"/>
            <a:ext cx="15840" cy="9000"/>
          </xdr14:xfrm>
        </xdr:contentPart>
      </mc:Choice>
      <mc:Fallback xmlns="">
        <xdr:pic>
          <xdr:nvPicPr>
            <xdr:cNvPr id="56" name="דיו 55">
              <a:extLst>
                <a:ext uri="{FF2B5EF4-FFF2-40B4-BE49-F238E27FC236}">
                  <a16:creationId xmlns:a16="http://schemas.microsoft.com/office/drawing/2014/main" id="{94D628E4-C19C-73CA-FCB4-E2A21AA2E578}"/>
                </a:ext>
              </a:extLst>
            </xdr:cNvPr>
            <xdr:cNvPicPr/>
          </xdr:nvPicPr>
          <xdr:blipFill>
            <a:blip xmlns:r="http://schemas.openxmlformats.org/officeDocument/2006/relationships" r:embed="rId14"/>
            <a:stretch>
              <a:fillRect/>
            </a:stretch>
          </xdr:blipFill>
          <xdr:spPr>
            <a:xfrm>
              <a:off x="10921462792" y="4340356"/>
              <a:ext cx="28080" cy="21240"/>
            </a:xfrm>
            <a:prstGeom prst="rect">
              <a:avLst/>
            </a:prstGeom>
          </xdr:spPr>
        </xdr:pic>
      </mc:Fallback>
    </mc:AlternateContent>
    <xdr:clientData/>
  </xdr:twoCellAnchor>
  <xdr:twoCellAnchor editAs="oneCell">
    <xdr:from>
      <xdr:col>0</xdr:col>
      <xdr:colOff>118647</xdr:colOff>
      <xdr:row>51</xdr:row>
      <xdr:rowOff>112200</xdr:rowOff>
    </xdr:from>
    <xdr:to>
      <xdr:col>1</xdr:col>
      <xdr:colOff>121497</xdr:colOff>
      <xdr:row>56</xdr:row>
      <xdr:rowOff>158891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74" name="דיו 73">
              <a:extLst>
                <a:ext uri="{FF2B5EF4-FFF2-40B4-BE49-F238E27FC236}">
                  <a16:creationId xmlns:a16="http://schemas.microsoft.com/office/drawing/2014/main" id="{63686F4E-5AB9-0E3B-C939-FE414251585D}"/>
                </a:ext>
              </a:extLst>
            </xdr14:cNvPr>
            <xdr14:cNvContentPartPr/>
          </xdr14:nvContentPartPr>
          <xdr14:nvPr macro=""/>
          <xdr14:xfrm>
            <a:off x="10931062912" y="10364564"/>
            <a:ext cx="669600" cy="912600"/>
          </xdr14:xfrm>
        </xdr:contentPart>
      </mc:Choice>
      <mc:Fallback xmlns="">
        <xdr:pic>
          <xdr:nvPicPr>
            <xdr:cNvPr id="74" name="דיו 73">
              <a:extLst>
                <a:ext uri="{FF2B5EF4-FFF2-40B4-BE49-F238E27FC236}">
                  <a16:creationId xmlns:a16="http://schemas.microsoft.com/office/drawing/2014/main" id="{63686F4E-5AB9-0E3B-C939-FE414251585D}"/>
                </a:ext>
              </a:extLst>
            </xdr:cNvPr>
            <xdr:cNvPicPr/>
          </xdr:nvPicPr>
          <xdr:blipFill>
            <a:blip xmlns:r="http://schemas.openxmlformats.org/officeDocument/2006/relationships" r:embed="rId18"/>
            <a:stretch>
              <a:fillRect/>
            </a:stretch>
          </xdr:blipFill>
          <xdr:spPr>
            <a:xfrm>
              <a:off x="10931056792" y="10358444"/>
              <a:ext cx="681840" cy="924840"/>
            </a:xfrm>
            <a:prstGeom prst="rect">
              <a:avLst/>
            </a:prstGeom>
          </xdr:spPr>
        </xdr:pic>
      </mc:Fallback>
    </mc:AlternateContent>
    <xdr:clientData/>
  </xdr:twoCellAnchor>
  <xdr:twoCellAnchor editAs="oneCell">
    <xdr:from>
      <xdr:col>14</xdr:col>
      <xdr:colOff>83255</xdr:colOff>
      <xdr:row>82</xdr:row>
      <xdr:rowOff>44719</xdr:rowOff>
    </xdr:from>
    <xdr:to>
      <xdr:col>14</xdr:col>
      <xdr:colOff>95495</xdr:colOff>
      <xdr:row>82</xdr:row>
      <xdr:rowOff>60919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16" name="דיו 115">
              <a:extLst>
                <a:ext uri="{FF2B5EF4-FFF2-40B4-BE49-F238E27FC236}">
                  <a16:creationId xmlns:a16="http://schemas.microsoft.com/office/drawing/2014/main" id="{8A8370FA-CE0C-DFD2-9428-3954F12A9F24}"/>
                </a:ext>
              </a:extLst>
            </xdr14:cNvPr>
            <xdr14:cNvContentPartPr/>
          </xdr14:nvContentPartPr>
          <xdr14:nvPr macro=""/>
          <xdr14:xfrm>
            <a:off x="10919295232" y="15691696"/>
            <a:ext cx="12240" cy="16200"/>
          </xdr14:xfrm>
        </xdr:contentPart>
      </mc:Choice>
      <mc:Fallback xmlns="">
        <xdr:pic>
          <xdr:nvPicPr>
            <xdr:cNvPr id="116" name="דיו 115">
              <a:extLst>
                <a:ext uri="{FF2B5EF4-FFF2-40B4-BE49-F238E27FC236}">
                  <a16:creationId xmlns:a16="http://schemas.microsoft.com/office/drawing/2014/main" id="{8A8370FA-CE0C-DFD2-9428-3954F12A9F24}"/>
                </a:ext>
              </a:extLst>
            </xdr:cNvPr>
            <xdr:cNvPicPr/>
          </xdr:nvPicPr>
          <xdr:blipFill>
            <a:blip xmlns:r="http://schemas.openxmlformats.org/officeDocument/2006/relationships" r:embed="rId28"/>
            <a:stretch>
              <a:fillRect/>
            </a:stretch>
          </xdr:blipFill>
          <xdr:spPr>
            <a:xfrm>
              <a:off x="10919289112" y="15685576"/>
              <a:ext cx="24480" cy="28440"/>
            </a:xfrm>
            <a:prstGeom prst="rect">
              <a:avLst/>
            </a:prstGeom>
          </xdr:spPr>
        </xdr:pic>
      </mc:Fallback>
    </mc:AlternateContent>
    <xdr:clientData/>
  </xdr:twoCellAnchor>
  <xdr:twoCellAnchor editAs="oneCell">
    <xdr:from>
      <xdr:col>14</xdr:col>
      <xdr:colOff>96215</xdr:colOff>
      <xdr:row>86</xdr:row>
      <xdr:rowOff>172431</xdr:rowOff>
    </xdr:from>
    <xdr:to>
      <xdr:col>14</xdr:col>
      <xdr:colOff>190895</xdr:colOff>
      <xdr:row>87</xdr:row>
      <xdr:rowOff>26249</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17" name="דיו 116">
              <a:extLst>
                <a:ext uri="{FF2B5EF4-FFF2-40B4-BE49-F238E27FC236}">
                  <a16:creationId xmlns:a16="http://schemas.microsoft.com/office/drawing/2014/main" id="{395ABB8E-F562-9C41-3631-25E1132F4BF3}"/>
                </a:ext>
              </a:extLst>
            </xdr14:cNvPr>
            <xdr14:cNvContentPartPr/>
          </xdr14:nvContentPartPr>
          <xdr14:nvPr macro=""/>
          <xdr14:xfrm>
            <a:off x="10919199832" y="16512136"/>
            <a:ext cx="94680" cy="27000"/>
          </xdr14:xfrm>
        </xdr:contentPart>
      </mc:Choice>
      <mc:Fallback xmlns="">
        <xdr:pic>
          <xdr:nvPicPr>
            <xdr:cNvPr id="117" name="דיו 116">
              <a:extLst>
                <a:ext uri="{FF2B5EF4-FFF2-40B4-BE49-F238E27FC236}">
                  <a16:creationId xmlns:a16="http://schemas.microsoft.com/office/drawing/2014/main" id="{395ABB8E-F562-9C41-3631-25E1132F4BF3}"/>
                </a:ext>
              </a:extLst>
            </xdr:cNvPr>
            <xdr:cNvPicPr/>
          </xdr:nvPicPr>
          <xdr:blipFill>
            <a:blip xmlns:r="http://schemas.openxmlformats.org/officeDocument/2006/relationships" r:embed="rId30"/>
            <a:stretch>
              <a:fillRect/>
            </a:stretch>
          </xdr:blipFill>
          <xdr:spPr>
            <a:xfrm>
              <a:off x="10919193712" y="16506016"/>
              <a:ext cx="106920" cy="39240"/>
            </a:xfrm>
            <a:prstGeom prst="rect">
              <a:avLst/>
            </a:prstGeom>
          </xdr:spPr>
        </xdr:pic>
      </mc:Fallback>
    </mc:AlternateContent>
    <xdr:clientData/>
  </xdr:twoCellAnchor>
  <xdr:twoCellAnchor editAs="oneCell">
    <xdr:from>
      <xdr:col>0</xdr:col>
      <xdr:colOff>509607</xdr:colOff>
      <xdr:row>176</xdr:row>
      <xdr:rowOff>111464</xdr:rowOff>
    </xdr:from>
    <xdr:to>
      <xdr:col>1</xdr:col>
      <xdr:colOff>261897</xdr:colOff>
      <xdr:row>178</xdr:row>
      <xdr:rowOff>79020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56" name="דיו 155">
              <a:extLst>
                <a:ext uri="{FF2B5EF4-FFF2-40B4-BE49-F238E27FC236}">
                  <a16:creationId xmlns:a16="http://schemas.microsoft.com/office/drawing/2014/main" id="{1ECDF906-CA4A-3956-652D-668CE5344B2E}"/>
                </a:ext>
              </a:extLst>
            </xdr14:cNvPr>
            <xdr14:cNvContentPartPr/>
          </xdr14:nvContentPartPr>
          <xdr14:nvPr macro=""/>
          <xdr14:xfrm>
            <a:off x="10930922512" y="32496464"/>
            <a:ext cx="419040" cy="313920"/>
          </xdr14:xfrm>
        </xdr:contentPart>
      </mc:Choice>
      <mc:Fallback xmlns="">
        <xdr:pic>
          <xdr:nvPicPr>
            <xdr:cNvPr id="156" name="דיו 155">
              <a:extLst>
                <a:ext uri="{FF2B5EF4-FFF2-40B4-BE49-F238E27FC236}">
                  <a16:creationId xmlns:a16="http://schemas.microsoft.com/office/drawing/2014/main" id="{1ECDF906-CA4A-3956-652D-668CE5344B2E}"/>
                </a:ext>
              </a:extLst>
            </xdr:cNvPr>
            <xdr:cNvPicPr/>
          </xdr:nvPicPr>
          <xdr:blipFill>
            <a:blip xmlns:r="http://schemas.openxmlformats.org/officeDocument/2006/relationships" r:embed="rId32"/>
            <a:stretch>
              <a:fillRect/>
            </a:stretch>
          </xdr:blipFill>
          <xdr:spPr>
            <a:xfrm>
              <a:off x="10930916392" y="32490344"/>
              <a:ext cx="431280" cy="32616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08:42:56.727"/>
    </inkml:context>
    <inkml:brush xml:id="br0">
      <inkml:brushProperty name="width" value="0.035" units="cm"/>
      <inkml:brushProperty name="height" value="0.035" units="cm"/>
      <inkml:brushProperty name="color" value="#66CC00"/>
    </inkml:brush>
  </inkml:definitions>
  <inkml:trace contextRef="#ctx0" brushRef="#br0">2501 1239 24575,'3'-3'0,"0"-1"0,0 0 0,0 0 0,-1-1 0,0 1 0,0 0 0,0-1 0,-1 1 0,1-1 0,-1 0 0,0 1 0,-1-1 0,1 0 0,-1-6 0,1 8 0,-1-1 0,0 1 0,0 0 0,0 0 0,0 0 0,-1 0 0,1 0 0,-1 0 0,0 1 0,0-1 0,0 0 0,0 0 0,-1 0 0,1 1 0,-1-1 0,1 1 0,-1-1 0,0 1 0,0-1 0,0 1 0,-1 0 0,1 0 0,-3-2 0,-2 1 0,0 1 0,0 0 0,0 0 0,0 0 0,0 1 0,-1 0 0,-11 0 0,-59 5 0,30-1 0,28-2 0,0 0 0,0 1 0,-25 6 0,34-5 0,0 0 0,0 1 0,1 1 0,-1 0 0,1 0 0,0 1 0,-10 8 0,3-2 0,2 0 0,0 1 0,1 1 0,-20 24 0,30-34 0,1 0 0,0 1 0,0-1 0,0 1 0,0 0 0,1 0 0,-1 0 0,1 1 0,1-1 0,-1 0 0,1 1 0,0-1 0,0 1 0,1-1 0,0 1 0,0-1 0,0 1 0,0 0 0,1-1 0,2 10 0,0-10 0,-1 0 0,1-1 0,0 1 0,0-1 0,0 0 0,0 0 0,1 0 0,0-1 0,0 1 0,0-1 0,0 0 0,0 0 0,1 0 0,0 0 0,-1-1 0,1 0 0,0 0 0,0 0 0,0 0 0,0-1 0,9 1 0,9 2 0,0-1 0,0-1 0,35-2 0,-27 0 0,45-3 0,-70 3 0,1-1 0,-2 0 0,1-1 0,0 1 0,0-1 0,0 0 0,-1-1 0,1 1 0,9-7 0,-12 6 0,0 0 0,-1-1 0,1 1 0,-1-1 0,1 1 0,-1-1 0,0 0 0,-1 0 0,1 0 0,0 0 0,-1 0 0,0 0 0,0 0 0,-1 0 0,1 0 0,-1 0 0,0-8 0,0 2 0,0 0 0,-1 1 0,-1-1 0,1 0 0,-1 1 0,-7-18 0,6 22 0,0-1 0,0 0 0,-1 1 0,0 0 0,0 0 0,0 0 0,-1 0 0,0 1 0,0 0 0,0-1 0,0 2 0,0-1 0,-1 1 0,0 0 0,0 0 0,0 0 0,0 1 0,0 0 0,-1 0 0,1 0 0,-1 1 0,1 0 0,-1 0 0,1 1 0,-1 0 0,1 0 0,-1 0 0,0 1 0,1 0 0,-1 0 0,1 0 0,0 1 0,-1 0 0,1 1 0,0-1 0,0 1 0,0 0 0,1 0 0,-1 1 0,1 0 0,-8 6 0,1 2 0,-7 5 0,2 1 0,-26 33 0,39-45 0,0 1 0,0-1 0,1 1 0,0-1 0,0 1 0,0 0 0,1 0 0,0 0 0,1 1 0,-1-1 0,1 0 0,1 1 0,0 10 0,0-16 0,0 0 0,0 0 0,1 0 0,-1 0 0,1 0 0,0 0 0,-1 0 0,1 0 0,0 0 0,0 0 0,0-1 0,1 1 0,-1 0 0,0-1 0,1 1 0,-1 0 0,1-1 0,-1 0 0,4 3 0,-1-2 0,0 0 0,0 0 0,0 0 0,1 0 0,-1-1 0,1 0 0,-1 0 0,9 1 0,0-1 0,-1 0 0,0-2 0,1 1 0,-1-1 0,1-1 0,13-3 0,-15 1 0,0-1 0,0 0 0,0 0 0,-1-1 0,0 0 0,0-1 0,-1 0 0,1 0 0,-2-1 0,15-16 0,-22 23 0,0 0 0,0 0 0,0 0 0,0-1 0,0 1 0,0 0 0,0 0 0,0-1 0,-1 1 0,1-1 0,-1 1 0,1-1 0,-1 1 0,0-1 0,1 1 0,-1-1 0,0 1 0,0-1 0,0 1 0,0-1 0,0 1 0,-1-3 0,0 3 0,0-1 0,0 1 0,0 0 0,0-1 0,0 1 0,0 0 0,0 0 0,-1 0 0,1 0 0,0 0 0,-1 0 0,1 0 0,-1 0 0,1 0 0,-1 1 0,-3-2 0,-5-1 0,0 1 0,0 0 0,-1 1 0,1 0 0,-13 0 0,-332 5 0,351-4 0,-1 0 0,0 0 0,1 1 0,-1 0 0,1-1 0,0 2 0,-1-1 0,1 1 0,0-1 0,-9 5 0,12-5 0,0 0 0,0 0 0,0 0 0,0 0 0,0 0 0,0 0 0,0 0 0,0 0 0,0 0 0,1 1 0,-1-1 0,0 0 0,1 0 0,-1 1 0,1-1 0,0 0 0,-1 1 0,1-1 0,0 1 0,0-1 0,-1 0 0,1 1 0,1-1 0,-1 1 0,0-1 0,0 0 0,0 1 0,1-1 0,-1 0 0,1 1 0,-1-1 0,1 0 0,-1 1 0,1-1 0,0 0 0,0 0 0,-1 0 0,3 2 0,1 1 0,-1 0 0,1 0 0,0 0 0,1-1 0,-1 1 0,1-1 0,-1 0 0,1 0 0,0-1 0,0 0 0,0 0 0,1 0 0,7 2 0,5 0 0,0 0 0,32 2 0,-11-6 0,-30-1 0,0 1 0,0 0 0,17 2 0,-55 11 0,17-11 0,-25 5 0,36-7 0,-1 1 0,1-1 0,-1 0 0,0 1 0,1 0 0,-1-1 0,1 1 0,-1 0 0,1 0 0,0 0 0,-1 0 0,1 0 0,0 0 0,0 0 0,0 0 0,-2 2 0,4-3 0,-1 1 0,0-1 0,0 0 0,1 1 0,-1-1 0,0 1 0,0-1 0,1 0 0,-1 1 0,0-1 0,1 0 0,-1 1 0,1-1 0,-1 0 0,0 1 0,1-1 0,-1 0 0,1 0 0,-1 0 0,1 1 0,-1-1 0,1 0 0,-1 0 0,1 0 0,-1 0 0,1 0 0,-1 0 0,1 0 0,-1 0 0,2 0 0,18 2 0,-20-2 0,39 2 0,64-4 0,-89 1 0,0-1 0,-1-1 0,1 0 0,-1 0 0,0-2 0,0 1 0,0-2 0,15-8 0,29-14 0,-46 23 0,0 0 0,0 0 0,0-1 0,-1 0 0,0 0 0,0-1 0,-1-1 0,0 0 0,8-9 0,-16 17 0,-1 0 0,1-1 0,-1 1 0,0-1 0,1 1 0,-1-1 0,1 1 0,-1-1 0,0 0 0,0 1 0,1-1 0,-1 1 0,0-1 0,0 1 0,0-1 0,0 0 0,0 1 0,1-1 0,-1 0 0,0 1 0,-1-1 0,1 0 0,0 1 0,0-1 0,0 1 0,0-1 0,0 0 0,-1 1 0,1-1 0,0 1 0,0-1 0,-1 1 0,0-2 0,-1 1 0,1 0 0,-1 0 0,1 0 0,-1 0 0,0 1 0,0-1 0,1 0 0,-1 1 0,0 0 0,0-1 0,-3 1 0,-4-1 0,1 1 0,-1 0 0,1 0 0,-14 3 0,-56 16 0,137-14 0,-28-6 0,35 1 0,-57 4-119,-10 1 217,-17 9 19,0 1-1578,17-10-5365</inkml:trace>
  <inkml:trace contextRef="#ctx0" brushRef="#br0" timeOffset="951.52">2998 949 24575,'-1'-3'0,"-1"-1"0,0 1 0,1 0 0,-1 0 0,-1 0 0,1 0 0,0 0 0,-1 1 0,1-1 0,-1 1 0,-3-3 0,-4-4 0,-9-13 0,2-1 0,-16-26 0,-10-15 0,37 57 0,0-1 0,0 1 0,-1 0 0,0 1 0,0 0 0,-1 0 0,1 0 0,-1 1 0,-1 0 0,1 1 0,-1 0 0,-9-4 0,17 8 0,-1 0 0,0 0 0,1 0 0,-1 0 0,1 0 0,-1 1 0,0-1 0,1 0 0,-1 1 0,0-1 0,1 1 0,-1 0 0,1-1 0,-1 1 0,1 0 0,0 0 0,-1 0 0,1 0 0,0 0 0,0 0 0,-1 0 0,1 1 0,0-1 0,0 0 0,0 0 0,1 1 0,-1-1 0,0 1 0,0-1 0,1 1 0,-1-1 0,1 1 0,-1 2 0,-3 9 0,0 1 0,-3 26 0,5-29 0,-4 58 0,6-55 0,-1 0 0,0-1 0,-1 1 0,-1 0 0,0 0 0,-1-1 0,-9 21 0,11-29 0,-4 8 0,-1 0 0,0-1 0,-1 1 0,-18 21 0,23-32 0,1 0 0,0 1 0,-1-1 0,0 0 0,1 0 0,-1-1 0,0 1 0,0 0 0,0-1 0,0 0 0,0 1 0,0-1 0,-1-1 0,1 1 0,0 0 0,0-1 0,-1 1 0,1-1 0,0 0 0,-1 0 0,1 0 0,-1-1 0,1 1 0,0-1 0,0 0 0,-1 0 0,-4-2 0,-14-7-195,1-2 0,0 0 0,0-1 0,2-1 0,0-1 0,-28-27 0,31 25-6631</inkml:trace>
  <inkml:trace contextRef="#ctx0" brushRef="#br0" timeOffset="1467.88">2006 659 24575,'4'4'0,"6"1"0,5 5 0,4 4 0,4 4 0,2 2 0,0 3 0,-3 2 0,-7 0 0,-4 0 0,-5 0 0,-3-1 0,-3 1 0,0 0 0,-2-1 0,1-4-8191</inkml:trace>
  <inkml:trace contextRef="#ctx0" brushRef="#br0" timeOffset="2314.66">2055 732 24575,'-2'-2'0,"0"1"0,0 0 0,0 0 0,0 0 0,0 0 0,0 1 0,0-1 0,0 0 0,0 1 0,0-1 0,0 1 0,0 0 0,-1 0 0,1 0 0,0 0 0,0 0 0,0 0 0,0 1 0,-1-1 0,1 1 0,0-1 0,0 1 0,0 0 0,0 0 0,0-1 0,0 2 0,0-1 0,1 0 0,-4 3 0,-6 3 0,0 1 0,0 0 0,-12 14 0,11-8 0,0 0 0,1 0 0,0 1 0,1 1 0,1-1 0,-7 19 0,4-12 38,-2-1-1,-24 31 1,23-34-407,1 1-1,1 1 0,-12 24 1,17-25-6457</inkml:trace>
  <inkml:trace contextRef="#ctx0" brushRef="#br0" timeOffset="2759.41">1708 659 24575,'-4'0'0,"-6"0"0,-1 4 0,-3 6 0,-3 4 0,1 6 0,3-3-8191</inkml:trace>
  <inkml:trace contextRef="#ctx0" brushRef="#br0" timeOffset="3342.32">1311 853 24575,'-6'0'0,"0"1"0,0 0 0,0 1 0,0-1 0,0 1 0,0 0 0,0 1 0,1-1 0,-1 1 0,1 0 0,0 1 0,0-1 0,0 1 0,-4 4 0,3-3 0,0 1 0,1-1 0,0 1 0,0 0 0,0 0 0,1 1 0,0-1 0,0 1 0,1 0 0,-4 10 0,6-15 0,0-1 0,1 0 0,-1 1 0,1-1 0,0 1 0,-1-1 0,1 1 0,0-1 0,0 1 0,0-1 0,0 1 0,0-1 0,0 1 0,1-1 0,-1 1 0,0-1 0,1 1 0,-1-1 0,1 1 0,0-1 0,-1 1 0,1-1 0,0 0 0,0 0 0,0 1 0,0-1 0,0 0 0,0 0 0,0 0 0,0 0 0,0 0 0,1 0 0,-1 0 0,0-1 0,1 1 0,-1 0 0,1-1 0,-1 1 0,1-1 0,-1 1 0,1-1 0,-1 0 0,1 1 0,-1-1 0,1 0 0,2 0 0,1 0 0,0 0 0,-1-1 0,1 1 0,0-1 0,0 0 0,-1 0 0,1 0 0,-1-1 0,1 0 0,-1 0 0,0 0 0,1 0 0,-1 0 0,5-5 0,-3 1 0,0-1 0,0-1 0,-1 1 0,1-1 0,-2 1 0,1-1 0,-1-1 0,-1 1 0,1-1 0,-2 1 0,1-1 0,-1 0 0,2-16 0,-1-11 0,-2 0 0,-3-42 0,0 17 0,2 52 0,0-21 0,-1 1 0,-1-1 0,-11-52 0,13 81 0,-11-39 0,2 0 0,-6-71 0,14 99 0,1 1 0,0 0 0,0 0 0,2 0 0,-1 0 0,1 0 0,1 0 0,0 1 0,1-1 0,0 1 0,1-1 0,0 1 0,0 1 0,1-1 0,9-11 0,-3 8 0,0 0 0,0 0 0,2 1 0,0 1 0,19-13 0,-28 21 0,-1 1 0,1-1 0,0 1 0,0 1 0,0-1 0,0 0 0,0 1 0,0 0 0,0 0 0,6 1 0,-7 0 0,-1 0 0,0 0 0,1 1 0,-1 0 0,1-1 0,-1 1 0,0 1 0,0-1 0,0 0 0,0 1 0,0-1 0,0 1 0,0 0 0,0 0 0,0 0 0,4 5 0,-2 0 10,1 0 0,-1 0 0,0 0 0,-1 0 0,0 1 0,0 0 0,-1 0 0,0 0 0,0 0 0,-1 0 0,2 14 0,0 5-505,-2 0 0,-1 36 0,-1-42-6331</inkml:trace>
  <inkml:trace contextRef="#ctx0" brushRef="#br0" timeOffset="3942.75">915 974 24575,'-2'-17'0,"0"0"0,-1 1 0,-1-1 0,0 1 0,-2-1 0,-12-27 0,-5-1 0,-1 2 0,-49-65 0,68 102 0,0 0 0,0 0 0,-1 0 0,0 1 0,0 0 0,-1 0 0,1 0 0,-1 1 0,0 0 0,0 0 0,-1 1 0,-14-6 0,17 8 0,0 0 0,0 0 0,0 1 0,-1-1 0,1 1 0,0 0 0,0 0 0,-1 1 0,1 0 0,0 0 0,0 0 0,0 0 0,0 1 0,0-1 0,0 1 0,0 1 0,0-1 0,1 1 0,-1 0 0,1 0 0,-4 3 0,-100 100 0,78-73 0,-1-2 0,-36 28 0,58-54 0,1 0 0,-1-1 0,0 0 0,0 0 0,0-1 0,0 0 0,0-1 0,-1 1 0,0-2 0,1 0 0,-1 0 0,0 0 0,1-1 0,-1-1 0,0 1 0,0-2 0,1 1 0,-1-1 0,1-1 0,-1 0 0,1 0 0,-10-5 0,7 2-341,0 0 0,-1 2-1,-15-5 1,8 4-6485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08:40:12.597"/>
    </inkml:context>
    <inkml:brush xml:id="br0">
      <inkml:brushProperty name="width" value="0.035" units="cm"/>
      <inkml:brushProperty name="height" value="0.035" units="cm"/>
      <inkml:brushProperty name="color" value="#66CC00"/>
    </inkml:brush>
  </inkml:definitions>
  <inkml:trace contextRef="#ctx0" brushRef="#br0">5158 1922 24575,'0'0'-8191</inkml:trace>
  <inkml:trace contextRef="#ctx0" brushRef="#br0" timeOffset="329.21">6752 1698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09:36:46.019"/>
    </inkml:context>
    <inkml:brush xml:id="br0">
      <inkml:brushProperty name="width" value="0.05" units="cm"/>
      <inkml:brushProperty name="height" value="0.05" units="cm"/>
      <inkml:brushProperty name="color" value="#AE198D"/>
      <inkml:brushProperty name="inkEffects" value="galaxy"/>
      <inkml:brushProperty name="anchorX" value="-1954.74255"/>
      <inkml:brushProperty name="anchorY" value="-3800.98486"/>
      <inkml:brushProperty name="scaleFactor" value="0.5"/>
    </inkml:brush>
  </inkml:definitions>
  <inkml:trace contextRef="#ctx0" brushRef="#br0">1514 66 24575,'0'0'0,"0"-3"0,-3-1 0,-4 1 0,-3 0 0,-2 1 0,-3 1 0,-4-3 0,-1 0 0,-3 1 0,0 0 0,0 2 0,-1-1 0,2-1 0,-3-1 0,2 1 0,1 0 0,-1 1 0,1 1 0,-6 1 0,-1 0 0,1-4-1241,-2 1 1596,4 0-533,-2 0 178,3 2-190,3-1 244,-2 2-81,2-1 27,2 1 0,-3 1 0,2-1 0,-3 0 0,-2 0 0,1 0 0,-1 0 0,1 0 0,-1 0 0,2 0 0,1 0 0,0 0 0,0 0 0,3 0 0,0 0 0,2 0 1231,1 0-1583,0 0 729,1 0-434,0 0 85,0 0-28,0 0 0,-3 0 0,-1 0 0,1 0 0,0 0 0,0 0 0,2 0 0,0 0 0,0 0 0,1 0 0,0 0 0,0 0 0,-1 0 0,1 0 0,0 0 0,0 0 0,0 0 0,-1 0 0,1 0 0,0 0 0,-1 0 0,1 3 0,0 1 0,0-1 0,-1 0 0,4 2 0,0-1 0,0 0 0,0 3 0,2-2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10:20:51.870"/>
    </inkml:context>
    <inkml:brush xml:id="br0">
      <inkml:brushProperty name="width" value="0.035" units="cm"/>
      <inkml:brushProperty name="height" value="0.035" units="cm"/>
      <inkml:brushProperty name="color" value="#66CC00"/>
    </inkml:brush>
  </inkml:definitions>
  <inkml:trace contextRef="#ctx0" brushRef="#br0">2336 723 24575,'4'0'0,"6"4"0,4 5 0,1 2-8191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10:24:59.719"/>
    </inkml:context>
    <inkml:brush xml:id="br0">
      <inkml:brushProperty name="width" value="0.035" units="cm"/>
      <inkml:brushProperty name="height" value="0.035" units="cm"/>
      <inkml:brushProperty name="color" value="#FF0066"/>
    </inkml:brush>
  </inkml:definitions>
  <inkml:trace contextRef="#ctx0" brushRef="#br0">0 49 24575,'5'-4'0,"0"1"0,0 0 0,0 1 0,1 0 0,-1-1 0,0 2 0,1-1 0,0 0 0,-1 1 0,1 0 0,0 1 0,0-1 0,5 1 0,25-4 0,22-5 0,0 2 0,0 3 0,69 4 0,-63 1 0,-40 0 0,0 1 0,28 7 0,-26-4 0,41 2 0,504-5 0,-277-4 0,-209 0 0,94 4 0,-176-1 0,-1-1 0,1 1 0,-1-1 0,0 1 0,1 0 0,-1-1 0,0 1 0,0 1 0,1-1 0,-1 0 0,0 0 0,0 1 0,0-1 0,-1 1 0,1 0 0,0-1 0,-1 1 0,1 0 0,-1 0 0,1 0 0,-1 0 0,0 0 0,0 1 0,0-1 0,0 0 0,0 0 0,0 1 0,-1-1 0,1 1 0,-1 2 0,2 10 0,-1-1 0,-1 1 0,0 0 0,-2 15 0,0-4 0,-3 701 0,8-393 0,-3 580 0,0-908 0,-1 0 0,1 1 0,-1-1 0,0 0 0,-1 0 0,1 0 0,-1 0 0,0 0 0,-1 0 0,1 0 0,-1-1 0,0 1 0,-1-1 0,1 0 0,-1 0 0,0 0 0,-1-1 0,1 1 0,-1-1 0,-7 6 0,-7 2 0,-1-1 0,0 0 0,-1-2 0,-29 11 0,5-3 0,7-3 0,-76 16 0,74-21 0,-67 24 0,82-24 0,-46 9 0,3-1 0,-22 10-1365,66-18-5461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10:28:36.304"/>
    </inkml:context>
    <inkml:brush xml:id="br0">
      <inkml:brushProperty name="width" value="0.035" units="cm"/>
      <inkml:brushProperty name="height" value="0.035" units="cm"/>
      <inkml:brushProperty name="color" value="#66CC00"/>
    </inkml:brush>
  </inkml:definitions>
  <inkml:trace contextRef="#ctx0" brushRef="#br0">0 44 24575,'4'-4'0,"6"-6"0,0-5 0,0 0-8191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10:28:36.665"/>
    </inkml:context>
    <inkml:brush xml:id="br0">
      <inkml:brushProperty name="width" value="0.035" units="cm"/>
      <inkml:brushProperty name="height" value="0.035" units="cm"/>
      <inkml:brushProperty name="color" value="#66CC00"/>
    </inkml:brush>
  </inkml:definitions>
  <inkml:trace contextRef="#ctx0" brushRef="#br0">1 74 24575,'4'0'0,"5"-4"0,6-2 0,4-3 0,3-1 0,1 2 0,2 2 0,0 2 0,0 2 0,0 1 0,0-4 0,-1-4 0,-3-1-8191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5-26T10:32:30.125"/>
    </inkml:context>
    <inkml:brush xml:id="br0">
      <inkml:brushProperty name="width" value="0.035" units="cm"/>
      <inkml:brushProperty name="height" value="0.035" units="cm"/>
      <inkml:brushProperty name="color" value="#FF0066"/>
    </inkml:brush>
  </inkml:definitions>
  <inkml:trace contextRef="#ctx0" brushRef="#br0">752 98 24575,'-3'-1'0,"0"0"0,0-1 0,0 1 0,0-1 0,0 0 0,1 0 0,-1 0 0,1 0 0,-1-1 0,1 1 0,0 0 0,0-1 0,-2-3 0,-6-5 0,3 5 0,0 0 0,0 1 0,0 0 0,0 0 0,-1 0 0,0 1 0,0 1 0,0-1 0,0 1 0,-17-4 0,19 6 0,-1 0 0,1 1 0,0 0 0,0 0 0,-1 0 0,1 0 0,0 1 0,0 0 0,0 0 0,0 1 0,0 0 0,0 0 0,0 0 0,0 1 0,1 0 0,-7 4 0,-93 57 0,68-44 0,2 2 0,-64 51 0,87-61 0,2 1 0,-1 0 0,2 1 0,0 0 0,0 1 0,2 0 0,-8 17 0,4-7 0,-20 31 0,23-44 0,-7 9 0,2 1 0,0 0 0,1 1 0,-12 34 0,22-50 0,0 0 0,0 0 0,1 0 0,0 1 0,0-1 0,1 0 0,0 1 0,0-1 0,1 0 0,-1 1 0,2-1 0,-1 0 0,1 0 0,0 0 0,1 0 0,-1 0 0,1-1 0,1 1 0,-1-1 0,7 9 0,-2-4 0,1 1 0,1-1 0,0 0 0,0-1 0,1 0 0,0-1 0,0 0 0,1-1 0,1 0 0,-1-1 0,1-1 0,0 0 0,1 0 0,0-1 0,-1-1 0,2 0 0,-1-1 0,0-1 0,0 0 0,1-1 0,15-1 0,66 1 0,97-5 0,-160-1 0,1-2 0,-1-2 0,-1 0 0,1-3 0,38-18 0,48-21 0,-103 45 0,-1-1 0,-1 0 0,1-1 0,-2-1 0,1 0 0,-1-1 0,0 0 0,12-14 0,-19 17 0,1 0 0,-1-1 0,-1 0 0,0 0 0,0 0 0,0-1 0,-1 0 0,-1 0 0,1 0 0,-1 0 0,-1-1 0,0 1 0,0-1 0,0-17 0,-3-70-1365,1 76-5461</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4D056-05B0-416F-917D-8558F6455B18}">
  <dimension ref="A1"/>
  <sheetViews>
    <sheetView rightToLeft="1" tabSelected="1" topLeftCell="A94" zoomScale="70" zoomScaleNormal="70" workbookViewId="0">
      <selection activeCell="A121" sqref="A121"/>
    </sheetView>
  </sheetViews>
  <sheetFormatPr defaultRowHeight="13.8"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77DB-EA91-4C88-A95B-89C0D8742704}">
  <dimension ref="A1:X405"/>
  <sheetViews>
    <sheetView rightToLeft="1" topLeftCell="A261" zoomScale="70" zoomScaleNormal="70" workbookViewId="0">
      <selection activeCell="L283" sqref="L283"/>
    </sheetView>
  </sheetViews>
  <sheetFormatPr defaultRowHeight="13.8" x14ac:dyDescent="0.25"/>
  <cols>
    <col min="3" max="3" width="20.19921875" bestFit="1" customWidth="1"/>
    <col min="6" max="6" width="23.59765625" bestFit="1" customWidth="1"/>
    <col min="7" max="7" width="16.09765625" customWidth="1"/>
    <col min="8" max="8" width="13.59765625" bestFit="1" customWidth="1"/>
    <col min="9" max="9" width="25.5" bestFit="1" customWidth="1"/>
    <col min="10" max="10" width="25.19921875" customWidth="1"/>
    <col min="11" max="11" width="35.296875" customWidth="1"/>
    <col min="12" max="12" width="51.3984375" customWidth="1"/>
    <col min="13" max="13" width="32.69921875" customWidth="1"/>
    <col min="14" max="14" width="31.09765625" bestFit="1" customWidth="1"/>
    <col min="15" max="15" width="22.5" bestFit="1" customWidth="1"/>
    <col min="16" max="16" width="19.296875" style="9" bestFit="1" customWidth="1"/>
    <col min="17" max="17" width="28.3984375" style="9" bestFit="1" customWidth="1"/>
    <col min="18" max="18" width="22.5" style="9" bestFit="1" customWidth="1"/>
    <col min="19" max="19" width="25.796875" style="9" bestFit="1" customWidth="1"/>
    <col min="20" max="20" width="28.3984375" style="9" bestFit="1" customWidth="1"/>
    <col min="21" max="21" width="8.796875" style="9"/>
    <col min="22" max="22" width="13.59765625" style="9" bestFit="1" customWidth="1"/>
  </cols>
  <sheetData>
    <row r="1" spans="1:15" x14ac:dyDescent="0.25">
      <c r="A1" t="s">
        <v>86</v>
      </c>
    </row>
    <row r="3" spans="1:15" ht="38.4" customHeight="1" x14ac:dyDescent="0.25"/>
    <row r="4" spans="1:15" ht="38.4" customHeight="1" x14ac:dyDescent="0.25"/>
    <row r="5" spans="1:15" ht="38.4" customHeight="1" x14ac:dyDescent="0.25">
      <c r="L5" s="79">
        <v>30</v>
      </c>
      <c r="M5" s="79" t="s">
        <v>125</v>
      </c>
      <c r="N5" s="79" t="s">
        <v>140</v>
      </c>
    </row>
    <row r="6" spans="1:15" ht="38.4" customHeight="1" x14ac:dyDescent="0.25">
      <c r="L6" s="79"/>
      <c r="M6" s="79"/>
      <c r="N6" s="79"/>
    </row>
    <row r="7" spans="1:15" ht="38.4" customHeight="1" x14ac:dyDescent="0.25">
      <c r="L7" s="79">
        <v>14940</v>
      </c>
      <c r="M7" s="80" t="s">
        <v>294</v>
      </c>
      <c r="N7" s="80" t="s">
        <v>139</v>
      </c>
    </row>
    <row r="8" spans="1:15" ht="38.4" customHeight="1" x14ac:dyDescent="0.25">
      <c r="L8" s="79"/>
      <c r="M8" s="80"/>
      <c r="N8" s="80"/>
    </row>
    <row r="9" spans="1:15" ht="38.4" customHeight="1" x14ac:dyDescent="0.25">
      <c r="L9" s="82">
        <v>3.5999999999999999E-3</v>
      </c>
      <c r="M9" s="79" t="s">
        <v>88</v>
      </c>
      <c r="N9" s="79" t="s">
        <v>142</v>
      </c>
    </row>
    <row r="10" spans="1:15" ht="38.4" customHeight="1" x14ac:dyDescent="0.25">
      <c r="L10" s="82" t="s">
        <v>159</v>
      </c>
      <c r="M10" s="79" t="s">
        <v>130</v>
      </c>
      <c r="N10" s="79"/>
    </row>
    <row r="11" spans="1:15" ht="38.4" customHeight="1" thickBot="1" x14ac:dyDescent="0.3"/>
    <row r="12" spans="1:15" ht="38.4" customHeight="1" thickBot="1" x14ac:dyDescent="0.3">
      <c r="L12" s="203"/>
      <c r="M12" s="80" t="s">
        <v>87</v>
      </c>
      <c r="N12" s="81" t="s">
        <v>141</v>
      </c>
    </row>
    <row r="13" spans="1:15" ht="38.4" customHeight="1" thickBot="1" x14ac:dyDescent="0.3"/>
    <row r="14" spans="1:15" ht="38.4" customHeight="1" thickBot="1" x14ac:dyDescent="0.3">
      <c r="L14" s="157"/>
      <c r="M14" s="80" t="s">
        <v>88</v>
      </c>
      <c r="N14" s="80" t="s">
        <v>143</v>
      </c>
      <c r="O14" s="156"/>
    </row>
    <row r="15" spans="1:15" ht="38.4" customHeight="1" thickBot="1" x14ac:dyDescent="0.3">
      <c r="L15" s="204"/>
      <c r="M15" s="80"/>
      <c r="N15" s="80"/>
      <c r="O15" s="156"/>
    </row>
    <row r="16" spans="1:15" ht="38.4" customHeight="1" thickBot="1" x14ac:dyDescent="0.3">
      <c r="L16" s="205"/>
      <c r="M16" s="79" t="s">
        <v>5</v>
      </c>
      <c r="N16" s="79" t="s">
        <v>144</v>
      </c>
      <c r="O16" s="1"/>
    </row>
    <row r="17" spans="14:24" ht="38.4" customHeight="1" x14ac:dyDescent="0.25"/>
    <row r="18" spans="14:24" ht="38.4" customHeight="1" x14ac:dyDescent="0.25">
      <c r="N18" s="1"/>
    </row>
    <row r="19" spans="14:24" ht="38.4" customHeight="1" x14ac:dyDescent="0.25"/>
    <row r="20" spans="14:24" ht="38.4" customHeight="1" x14ac:dyDescent="0.25"/>
    <row r="21" spans="14:24" ht="38.4" customHeight="1" x14ac:dyDescent="0.25"/>
    <row r="22" spans="14:24" ht="38.4" customHeight="1" x14ac:dyDescent="0.25"/>
    <row r="23" spans="14:24" ht="38.4" customHeight="1" x14ac:dyDescent="0.25"/>
    <row r="24" spans="14:24" ht="38.4" customHeight="1" x14ac:dyDescent="0.25">
      <c r="R24" s="79"/>
      <c r="S24" s="79"/>
      <c r="T24" s="79"/>
    </row>
    <row r="25" spans="14:24" ht="38.4" customHeight="1" x14ac:dyDescent="0.25">
      <c r="R25" s="79"/>
      <c r="S25" s="79"/>
      <c r="T25" s="79"/>
    </row>
    <row r="28" spans="14:24" x14ac:dyDescent="0.25">
      <c r="V28" s="68"/>
    </row>
    <row r="29" spans="14:24" x14ac:dyDescent="0.25">
      <c r="X29" s="5"/>
    </row>
    <row r="32" spans="14:24" ht="20.399999999999999" x14ac:dyDescent="0.25">
      <c r="R32" s="79"/>
      <c r="S32" s="79"/>
      <c r="T32" s="79"/>
    </row>
    <row r="33" spans="2:23" ht="20.399999999999999" x14ac:dyDescent="0.25">
      <c r="R33" s="79"/>
      <c r="S33" s="79"/>
      <c r="T33" s="79"/>
    </row>
    <row r="34" spans="2:23" x14ac:dyDescent="0.25">
      <c r="B34" t="s">
        <v>7</v>
      </c>
    </row>
    <row r="35" spans="2:23" ht="32.4" customHeight="1" x14ac:dyDescent="0.25"/>
    <row r="36" spans="2:23" ht="70.8" customHeight="1" thickBot="1" x14ac:dyDescent="0.3">
      <c r="H36" s="158" t="s">
        <v>147</v>
      </c>
      <c r="K36" s="160" t="s">
        <v>146</v>
      </c>
      <c r="N36" s="162" t="s">
        <v>145</v>
      </c>
    </row>
    <row r="37" spans="2:23" ht="15.6" thickBot="1" x14ac:dyDescent="0.3">
      <c r="H37" s="159"/>
      <c r="K37" s="161"/>
      <c r="N37" s="163"/>
      <c r="P37" s="68"/>
    </row>
    <row r="38" spans="2:23" x14ac:dyDescent="0.25">
      <c r="N38" s="9" t="s">
        <v>298</v>
      </c>
      <c r="S38" s="65"/>
    </row>
    <row r="39" spans="2:23" x14ac:dyDescent="0.25">
      <c r="G39" s="1"/>
      <c r="L39" s="1"/>
      <c r="W39" s="9"/>
    </row>
    <row r="53" spans="12:20" ht="33" customHeight="1" x14ac:dyDescent="0.25">
      <c r="S53" s="91"/>
      <c r="T53" s="91"/>
    </row>
    <row r="54" spans="12:20" ht="33" customHeight="1" x14ac:dyDescent="0.25">
      <c r="L54" s="14" t="s">
        <v>296</v>
      </c>
      <c r="R54" s="154"/>
      <c r="S54" s="154"/>
    </row>
    <row r="55" spans="12:20" ht="33" customHeight="1" x14ac:dyDescent="0.25">
      <c r="L55" t="s">
        <v>297</v>
      </c>
      <c r="R55" s="154"/>
      <c r="S55" s="154"/>
    </row>
    <row r="56" spans="12:20" ht="33" customHeight="1" x14ac:dyDescent="0.25">
      <c r="R56" s="154"/>
      <c r="S56" s="155"/>
    </row>
    <row r="57" spans="12:20" ht="33" customHeight="1" x14ac:dyDescent="0.25">
      <c r="L57" t="s">
        <v>295</v>
      </c>
      <c r="R57" s="154"/>
      <c r="S57" s="154"/>
    </row>
    <row r="58" spans="12:20" ht="33" customHeight="1" x14ac:dyDescent="0.25">
      <c r="L58" t="s">
        <v>330</v>
      </c>
      <c r="R58" s="154"/>
      <c r="S58" s="154"/>
    </row>
    <row r="59" spans="12:20" ht="33" customHeight="1" x14ac:dyDescent="0.25">
      <c r="L59" t="s">
        <v>314</v>
      </c>
      <c r="R59" s="154"/>
      <c r="S59" s="154"/>
    </row>
    <row r="60" spans="12:20" ht="33" customHeight="1" x14ac:dyDescent="0.25">
      <c r="L60" s="64" t="s">
        <v>10</v>
      </c>
      <c r="M60" s="4">
        <v>8.0000000000000002E-3</v>
      </c>
      <c r="R60" s="154"/>
      <c r="S60" s="155"/>
    </row>
    <row r="61" spans="12:20" ht="33" customHeight="1" x14ac:dyDescent="0.25">
      <c r="L61" t="s">
        <v>315</v>
      </c>
      <c r="M61" s="2">
        <v>70000</v>
      </c>
      <c r="R61" s="154"/>
      <c r="S61" s="154"/>
    </row>
    <row r="62" spans="12:20" ht="33" customHeight="1" x14ac:dyDescent="0.25">
      <c r="L62" s="164" t="s">
        <v>316</v>
      </c>
      <c r="M62">
        <v>-500</v>
      </c>
      <c r="P62"/>
      <c r="Q62"/>
      <c r="R62" s="165"/>
      <c r="S62" s="154"/>
    </row>
    <row r="63" spans="12:20" ht="33" customHeight="1" x14ac:dyDescent="0.25">
      <c r="L63" s="164" t="s">
        <v>317</v>
      </c>
      <c r="M63">
        <v>200</v>
      </c>
      <c r="P63"/>
      <c r="Q63"/>
      <c r="R63" s="154"/>
      <c r="S63" s="155"/>
    </row>
    <row r="64" spans="12:20" ht="33" customHeight="1" x14ac:dyDescent="0.25">
      <c r="P64"/>
      <c r="Q64"/>
      <c r="R64" s="154"/>
      <c r="S64" s="154"/>
    </row>
    <row r="65" spans="2:20" ht="33" customHeight="1" x14ac:dyDescent="0.25">
      <c r="P65"/>
      <c r="Q65"/>
      <c r="S65" s="91"/>
      <c r="T65" s="91"/>
    </row>
    <row r="66" spans="2:20" ht="33" customHeight="1" x14ac:dyDescent="0.25">
      <c r="P66"/>
      <c r="Q66"/>
      <c r="S66" s="91"/>
      <c r="T66" s="91"/>
    </row>
    <row r="67" spans="2:20" ht="33" customHeight="1" x14ac:dyDescent="0.25">
      <c r="P67"/>
    </row>
    <row r="68" spans="2:20" ht="33" customHeight="1" x14ac:dyDescent="0.25">
      <c r="P68"/>
    </row>
    <row r="69" spans="2:20" x14ac:dyDescent="0.25">
      <c r="P69"/>
      <c r="T69" s="68"/>
    </row>
    <row r="80" spans="2:20" ht="28.8" customHeight="1" x14ac:dyDescent="0.25">
      <c r="B80" t="s">
        <v>7</v>
      </c>
    </row>
    <row r="81" spans="9:15" ht="28.8" customHeight="1" x14ac:dyDescent="0.25"/>
    <row r="82" spans="9:15" ht="28.8" customHeight="1" x14ac:dyDescent="0.25"/>
    <row r="83" spans="9:15" ht="28.8" customHeight="1" x14ac:dyDescent="0.25">
      <c r="I83" s="166" t="s">
        <v>148</v>
      </c>
      <c r="J83" s="9"/>
      <c r="L83" s="166" t="s">
        <v>150</v>
      </c>
      <c r="M83" s="9"/>
    </row>
    <row r="84" spans="9:15" ht="28.8" customHeight="1" x14ac:dyDescent="0.25">
      <c r="I84" s="9" t="s">
        <v>153</v>
      </c>
      <c r="J84" s="9">
        <v>125000</v>
      </c>
      <c r="L84" s="9" t="s">
        <v>130</v>
      </c>
      <c r="M84" s="9">
        <v>125000</v>
      </c>
    </row>
    <row r="85" spans="9:15" ht="28.8" customHeight="1" thickBot="1" x14ac:dyDescent="0.3">
      <c r="I85" s="66" t="s">
        <v>152</v>
      </c>
      <c r="J85" s="66">
        <v>14000</v>
      </c>
      <c r="L85" s="91" t="s">
        <v>151</v>
      </c>
      <c r="M85" s="91">
        <v>2000</v>
      </c>
    </row>
    <row r="86" spans="9:15" ht="28.8" customHeight="1" thickBot="1" x14ac:dyDescent="0.3">
      <c r="I86" s="9" t="s">
        <v>2</v>
      </c>
      <c r="J86" s="168"/>
      <c r="L86" s="9" t="s">
        <v>2</v>
      </c>
      <c r="M86" s="9">
        <v>0</v>
      </c>
    </row>
    <row r="87" spans="9:15" ht="28.8" customHeight="1" thickBot="1" x14ac:dyDescent="0.3">
      <c r="I87" s="9" t="s">
        <v>10</v>
      </c>
      <c r="J87" s="67">
        <v>5.0000000000000001E-3</v>
      </c>
      <c r="L87" s="91" t="s">
        <v>10</v>
      </c>
      <c r="M87" s="102">
        <v>5.0000000000000001E-3</v>
      </c>
    </row>
    <row r="88" spans="9:15" ht="28.8" customHeight="1" thickBot="1" x14ac:dyDescent="0.3">
      <c r="I88" s="66" t="s">
        <v>33</v>
      </c>
      <c r="J88" s="169"/>
      <c r="L88" s="9"/>
      <c r="M88" s="9"/>
    </row>
    <row r="89" spans="9:15" ht="28.8" customHeight="1" thickBot="1" x14ac:dyDescent="0.3">
      <c r="I89" s="9"/>
      <c r="J89" s="9"/>
      <c r="L89" s="9"/>
      <c r="M89" s="9"/>
    </row>
    <row r="90" spans="9:15" ht="28.8" customHeight="1" thickBot="1" x14ac:dyDescent="0.3">
      <c r="I90" s="66" t="s">
        <v>149</v>
      </c>
      <c r="J90" s="168"/>
      <c r="L90" s="66" t="s">
        <v>13</v>
      </c>
      <c r="M90" s="168"/>
    </row>
    <row r="91" spans="9:15" ht="28.8" customHeight="1" thickBot="1" x14ac:dyDescent="0.3">
      <c r="I91" s="9" t="s">
        <v>82</v>
      </c>
      <c r="J91" s="85"/>
      <c r="L91" s="9" t="s">
        <v>82</v>
      </c>
      <c r="M91" s="85">
        <f>M90/12</f>
        <v>0</v>
      </c>
    </row>
    <row r="92" spans="9:15" ht="28.8" customHeight="1" x14ac:dyDescent="0.25">
      <c r="J92" s="51" t="s">
        <v>299</v>
      </c>
      <c r="M92" s="9"/>
    </row>
    <row r="93" spans="9:15" ht="28.8" customHeight="1" x14ac:dyDescent="0.25">
      <c r="M93" s="9"/>
    </row>
    <row r="94" spans="9:15" ht="28.8" customHeight="1" x14ac:dyDescent="0.25">
      <c r="M94" s="9"/>
    </row>
    <row r="95" spans="9:15" ht="28.8" customHeight="1" x14ac:dyDescent="0.25">
      <c r="L95" s="9"/>
      <c r="M95" s="9"/>
      <c r="N95" s="9"/>
      <c r="O95" s="9"/>
    </row>
    <row r="96" spans="9:15" ht="28.8" customHeight="1" x14ac:dyDescent="0.25">
      <c r="L96" s="9"/>
      <c r="M96" s="9"/>
      <c r="N96" s="9"/>
      <c r="O96" s="9"/>
    </row>
    <row r="97" spans="2:15" ht="28.8" customHeight="1" x14ac:dyDescent="0.25">
      <c r="K97" s="9"/>
      <c r="L97" s="9"/>
      <c r="M97" s="9"/>
      <c r="N97" s="9"/>
      <c r="O97" s="9"/>
    </row>
    <row r="98" spans="2:15" ht="28.8" customHeight="1" x14ac:dyDescent="0.25">
      <c r="J98" s="2"/>
      <c r="K98" s="9"/>
      <c r="L98" s="69"/>
      <c r="M98" s="9"/>
      <c r="N98" s="69"/>
      <c r="O98" s="9"/>
    </row>
    <row r="99" spans="2:15" ht="9.6" customHeight="1" x14ac:dyDescent="0.25">
      <c r="J99" s="4"/>
      <c r="K99" s="9"/>
      <c r="L99" s="9"/>
      <c r="M99" s="70"/>
      <c r="N99" s="9"/>
      <c r="O99" s="70"/>
    </row>
    <row r="100" spans="2:15" ht="9.6" customHeight="1" x14ac:dyDescent="0.25">
      <c r="J100" s="5"/>
      <c r="K100" s="9"/>
      <c r="L100" s="9"/>
      <c r="M100" s="70"/>
      <c r="N100" s="9"/>
      <c r="O100" s="84"/>
    </row>
    <row r="101" spans="2:15" ht="9.6" customHeight="1" x14ac:dyDescent="0.25">
      <c r="K101" s="9"/>
      <c r="L101" s="9"/>
      <c r="M101" s="167"/>
      <c r="N101" s="9"/>
      <c r="O101" s="84"/>
    </row>
    <row r="102" spans="2:15" ht="9.6" customHeight="1" x14ac:dyDescent="0.25">
      <c r="K102" s="9"/>
      <c r="L102" s="9"/>
      <c r="M102" s="86"/>
      <c r="N102" s="9"/>
      <c r="O102" s="9"/>
    </row>
    <row r="103" spans="2:15" ht="9.6" customHeight="1" x14ac:dyDescent="0.25"/>
    <row r="104" spans="2:15" ht="9.6" customHeight="1" x14ac:dyDescent="0.25"/>
    <row r="105" spans="2:15" ht="9.6" customHeight="1" x14ac:dyDescent="0.25"/>
    <row r="106" spans="2:15" ht="9.6" customHeight="1" x14ac:dyDescent="0.25"/>
    <row r="107" spans="2:15" ht="9.6" customHeight="1" x14ac:dyDescent="0.25"/>
    <row r="108" spans="2:15" ht="9.6" customHeight="1" x14ac:dyDescent="0.25"/>
    <row r="109" spans="2:15" ht="9.6" customHeight="1" x14ac:dyDescent="0.25"/>
    <row r="110" spans="2:15" ht="13.8" customHeight="1" x14ac:dyDescent="0.25"/>
    <row r="111" spans="2:15" ht="9.6" customHeight="1" x14ac:dyDescent="0.25">
      <c r="B111" t="s">
        <v>134</v>
      </c>
    </row>
    <row r="112" spans="2:15" ht="9.6" customHeight="1" x14ac:dyDescent="0.25"/>
    <row r="113" spans="10:14" ht="9.6" customHeight="1" x14ac:dyDescent="0.25"/>
    <row r="114" spans="10:14" ht="9.6" customHeight="1" x14ac:dyDescent="0.25"/>
    <row r="115" spans="10:14" ht="9.6" customHeight="1" x14ac:dyDescent="0.25"/>
    <row r="116" spans="10:14" ht="31.8" customHeight="1" x14ac:dyDescent="0.25">
      <c r="J116" s="171" t="s">
        <v>154</v>
      </c>
      <c r="K116" s="9"/>
      <c r="L116" s="9"/>
      <c r="M116" s="171" t="s">
        <v>158</v>
      </c>
      <c r="N116" s="9"/>
    </row>
    <row r="117" spans="10:14" ht="31.8" customHeight="1" x14ac:dyDescent="0.25">
      <c r="J117" s="9"/>
      <c r="K117" s="9"/>
      <c r="L117" s="9"/>
      <c r="M117" s="9"/>
      <c r="N117" s="9"/>
    </row>
    <row r="118" spans="10:14" ht="31.8" customHeight="1" x14ac:dyDescent="0.25">
      <c r="J118" s="9" t="s">
        <v>155</v>
      </c>
      <c r="K118" s="9">
        <v>50000</v>
      </c>
      <c r="L118" s="9"/>
      <c r="M118" s="9" t="s">
        <v>155</v>
      </c>
      <c r="N118" s="9" t="s">
        <v>159</v>
      </c>
    </row>
    <row r="119" spans="10:14" ht="31.8" customHeight="1" x14ac:dyDescent="0.25">
      <c r="J119" s="66" t="s">
        <v>13</v>
      </c>
      <c r="K119" s="9">
        <v>20</v>
      </c>
      <c r="L119" s="9"/>
      <c r="M119" s="66" t="s">
        <v>160</v>
      </c>
      <c r="N119" s="9">
        <v>600</v>
      </c>
    </row>
    <row r="120" spans="10:14" ht="31.8" customHeight="1" x14ac:dyDescent="0.25">
      <c r="J120" s="9" t="s">
        <v>156</v>
      </c>
      <c r="K120" s="9">
        <v>60920</v>
      </c>
      <c r="L120" s="9"/>
      <c r="M120" s="91" t="s">
        <v>161</v>
      </c>
      <c r="N120" s="91">
        <f>30/2</f>
        <v>15</v>
      </c>
    </row>
    <row r="121" spans="10:14" ht="31.8" customHeight="1" x14ac:dyDescent="0.25">
      <c r="J121" s="9"/>
      <c r="K121" s="9"/>
      <c r="L121" s="9"/>
      <c r="M121" s="9" t="s">
        <v>156</v>
      </c>
      <c r="N121" s="9">
        <v>10235</v>
      </c>
    </row>
    <row r="122" spans="10:14" ht="31.8" customHeight="1" thickBot="1" x14ac:dyDescent="0.3">
      <c r="J122" s="9"/>
      <c r="K122" s="9"/>
      <c r="L122" s="9"/>
      <c r="M122" s="9"/>
      <c r="N122" s="9"/>
    </row>
    <row r="123" spans="10:14" ht="31.8" customHeight="1" thickBot="1" x14ac:dyDescent="0.3">
      <c r="J123" s="66" t="s">
        <v>10</v>
      </c>
      <c r="K123" s="172"/>
      <c r="L123" s="67"/>
      <c r="M123" s="66" t="s">
        <v>162</v>
      </c>
      <c r="N123" s="172"/>
    </row>
    <row r="124" spans="10:14" ht="31.8" customHeight="1" thickBot="1" x14ac:dyDescent="0.3">
      <c r="J124" s="9"/>
      <c r="K124" s="9"/>
      <c r="L124" s="9"/>
      <c r="M124" s="9" t="s">
        <v>157</v>
      </c>
      <c r="N124" s="206"/>
    </row>
    <row r="125" spans="10:14" ht="31.8" customHeight="1" thickBot="1" x14ac:dyDescent="0.3">
      <c r="J125" s="9" t="s">
        <v>157</v>
      </c>
      <c r="K125" s="88"/>
      <c r="L125" s="9"/>
      <c r="M125" s="9"/>
      <c r="N125" s="9"/>
    </row>
    <row r="126" spans="10:14" ht="31.8" customHeight="1" x14ac:dyDescent="0.25">
      <c r="J126" s="9"/>
      <c r="K126" s="9" t="s">
        <v>300</v>
      </c>
      <c r="L126" s="9"/>
      <c r="M126" s="9"/>
      <c r="N126" s="9"/>
    </row>
    <row r="127" spans="10:14" ht="31.8" customHeight="1" x14ac:dyDescent="0.25">
      <c r="K127" s="9"/>
      <c r="L127" s="9"/>
      <c r="M127" s="9"/>
      <c r="N127" s="9"/>
    </row>
    <row r="128" spans="10:14" ht="31.8" customHeight="1" x14ac:dyDescent="0.25">
      <c r="K128" s="9"/>
      <c r="L128" s="9"/>
      <c r="M128" s="9"/>
      <c r="N128" s="9"/>
    </row>
    <row r="129" spans="10:20" ht="31.8" customHeight="1" x14ac:dyDescent="0.25">
      <c r="K129" s="9"/>
      <c r="L129" s="9"/>
      <c r="M129" s="9"/>
      <c r="N129" s="9"/>
    </row>
    <row r="130" spans="10:20" ht="9.6" customHeight="1" x14ac:dyDescent="0.25">
      <c r="K130" s="9"/>
      <c r="L130" s="9"/>
      <c r="M130" s="9"/>
      <c r="N130" s="9"/>
    </row>
    <row r="131" spans="10:20" ht="9.6" customHeight="1" x14ac:dyDescent="0.25">
      <c r="J131" s="9"/>
      <c r="K131" s="9"/>
      <c r="L131" s="9"/>
      <c r="M131" s="9"/>
      <c r="N131" s="9"/>
    </row>
    <row r="132" spans="10:20" ht="9.6" customHeight="1" x14ac:dyDescent="0.25">
      <c r="K132" s="9"/>
      <c r="L132" s="9"/>
      <c r="M132" s="9"/>
      <c r="N132" s="9"/>
      <c r="T132" s="70"/>
    </row>
    <row r="133" spans="10:20" ht="9.6" customHeight="1" x14ac:dyDescent="0.25">
      <c r="K133" s="9"/>
      <c r="L133" s="9"/>
      <c r="M133" s="9"/>
      <c r="N133" s="9"/>
    </row>
    <row r="134" spans="10:20" ht="9.6" customHeight="1" x14ac:dyDescent="0.25">
      <c r="K134" s="9"/>
      <c r="L134" s="9"/>
      <c r="M134" s="9"/>
      <c r="N134" s="9"/>
      <c r="T134" s="67"/>
    </row>
    <row r="135" spans="10:20" ht="9.6" customHeight="1" x14ac:dyDescent="0.25">
      <c r="K135" s="9"/>
      <c r="L135" s="9"/>
      <c r="M135" s="9"/>
      <c r="N135" s="9"/>
      <c r="T135" s="87"/>
    </row>
    <row r="136" spans="10:20" ht="9.6" customHeight="1" x14ac:dyDescent="0.25">
      <c r="K136" s="69"/>
      <c r="L136" s="9"/>
      <c r="M136" s="9"/>
      <c r="N136" s="69"/>
    </row>
    <row r="137" spans="10:20" ht="9.6" customHeight="1" x14ac:dyDescent="0.25">
      <c r="K137" s="9"/>
      <c r="L137" s="70"/>
      <c r="M137" s="9"/>
      <c r="N137" s="9"/>
    </row>
    <row r="138" spans="10:20" ht="9.6" customHeight="1" x14ac:dyDescent="0.25">
      <c r="K138" s="9"/>
      <c r="L138" s="9"/>
      <c r="M138" s="9"/>
      <c r="N138" s="9"/>
    </row>
    <row r="139" spans="10:20" ht="9.6" customHeight="1" x14ac:dyDescent="0.25">
      <c r="K139" s="9"/>
      <c r="L139" s="70"/>
      <c r="M139" s="9"/>
      <c r="N139" s="9"/>
    </row>
    <row r="140" spans="10:20" ht="9.6" customHeight="1" x14ac:dyDescent="0.25">
      <c r="K140" s="9"/>
      <c r="L140" s="9"/>
      <c r="M140" s="9"/>
      <c r="N140" s="9"/>
    </row>
    <row r="141" spans="10:20" x14ac:dyDescent="0.25">
      <c r="K141" s="9"/>
      <c r="L141" s="67"/>
      <c r="M141" s="9"/>
      <c r="N141" s="9"/>
    </row>
    <row r="142" spans="10:20" x14ac:dyDescent="0.25">
      <c r="K142" s="9"/>
      <c r="L142" s="170"/>
      <c r="M142" s="9"/>
      <c r="N142" s="9"/>
    </row>
    <row r="143" spans="10:20" x14ac:dyDescent="0.25">
      <c r="K143" s="9"/>
      <c r="L143" s="9"/>
      <c r="M143" s="9"/>
      <c r="N143" s="9"/>
    </row>
    <row r="144" spans="10:20" x14ac:dyDescent="0.25">
      <c r="K144" s="9"/>
      <c r="L144" s="9"/>
      <c r="M144" s="9"/>
      <c r="N144" s="9"/>
    </row>
    <row r="147" spans="3:14" ht="39" customHeight="1" x14ac:dyDescent="0.25"/>
    <row r="148" spans="3:14" ht="39" customHeight="1" x14ac:dyDescent="0.25">
      <c r="K148" s="9"/>
    </row>
    <row r="149" spans="3:14" ht="39" customHeight="1" x14ac:dyDescent="0.25">
      <c r="C149" t="s">
        <v>7</v>
      </c>
      <c r="K149" s="9"/>
    </row>
    <row r="150" spans="3:14" ht="39" customHeight="1" x14ac:dyDescent="0.25">
      <c r="K150" s="9"/>
    </row>
    <row r="151" spans="3:14" ht="39" customHeight="1" x14ac:dyDescent="0.25">
      <c r="K151" s="9" t="s">
        <v>163</v>
      </c>
      <c r="L151" s="9">
        <v>500000</v>
      </c>
      <c r="M151" s="9"/>
      <c r="N151" s="9"/>
    </row>
    <row r="152" spans="3:14" ht="39" customHeight="1" x14ac:dyDescent="0.25">
      <c r="K152" s="9" t="s">
        <v>211</v>
      </c>
      <c r="L152" s="9">
        <v>50000</v>
      </c>
      <c r="M152" s="9"/>
      <c r="N152" s="9"/>
    </row>
    <row r="153" spans="3:14" ht="39" customHeight="1" thickBot="1" x14ac:dyDescent="0.3">
      <c r="K153" s="9" t="s">
        <v>82</v>
      </c>
      <c r="L153" s="207" t="s">
        <v>301</v>
      </c>
      <c r="M153" s="9"/>
      <c r="N153" s="9"/>
    </row>
    <row r="154" spans="3:14" ht="39" customHeight="1" thickBot="1" x14ac:dyDescent="0.3">
      <c r="K154" s="209" t="s">
        <v>164</v>
      </c>
      <c r="L154" s="208"/>
      <c r="M154" s="9"/>
      <c r="N154" s="9"/>
    </row>
    <row r="155" spans="3:14" ht="39" customHeight="1" x14ac:dyDescent="0.25">
      <c r="M155" s="9"/>
      <c r="N155" s="9"/>
    </row>
    <row r="156" spans="3:14" ht="39" customHeight="1" thickBot="1" x14ac:dyDescent="0.3">
      <c r="K156" s="66" t="s">
        <v>302</v>
      </c>
      <c r="L156" s="9">
        <v>1000</v>
      </c>
      <c r="M156" s="9"/>
      <c r="N156" s="9"/>
    </row>
    <row r="157" spans="3:14" ht="39" customHeight="1" thickBot="1" x14ac:dyDescent="0.3">
      <c r="K157" s="9" t="s">
        <v>165</v>
      </c>
      <c r="L157" s="168"/>
      <c r="M157" s="9"/>
      <c r="N157" s="9"/>
    </row>
    <row r="158" spans="3:14" ht="39" customHeight="1" thickBot="1" x14ac:dyDescent="0.3">
      <c r="K158" s="9" t="s">
        <v>166</v>
      </c>
      <c r="L158" s="172"/>
      <c r="M158" s="67"/>
      <c r="N158" s="9"/>
    </row>
    <row r="159" spans="3:14" ht="39" customHeight="1" thickBot="1" x14ac:dyDescent="0.3">
      <c r="K159" s="9" t="s">
        <v>157</v>
      </c>
      <c r="L159" s="88"/>
      <c r="M159" s="71"/>
      <c r="N159" s="9"/>
    </row>
    <row r="160" spans="3:14" ht="39" customHeight="1" x14ac:dyDescent="0.25">
      <c r="K160" s="9"/>
      <c r="M160" s="9"/>
      <c r="N160" s="9"/>
    </row>
    <row r="161" spans="3:14" ht="39" customHeight="1" x14ac:dyDescent="0.25">
      <c r="M161" s="9"/>
      <c r="N161" s="9"/>
    </row>
    <row r="162" spans="3:14" ht="39" customHeight="1" x14ac:dyDescent="0.25">
      <c r="M162" s="9"/>
      <c r="N162" s="9"/>
    </row>
    <row r="163" spans="3:14" ht="39" customHeight="1" x14ac:dyDescent="0.25">
      <c r="J163" s="9"/>
      <c r="K163" s="70"/>
      <c r="L163" s="9"/>
      <c r="M163" s="9"/>
      <c r="N163" s="9"/>
    </row>
    <row r="164" spans="3:14" ht="39" customHeight="1" x14ac:dyDescent="0.25">
      <c r="J164" s="9"/>
      <c r="K164" s="9"/>
      <c r="L164" s="9"/>
      <c r="M164" s="9"/>
      <c r="N164" s="67"/>
    </row>
    <row r="165" spans="3:14" ht="39" customHeight="1" x14ac:dyDescent="0.25">
      <c r="J165" s="9"/>
      <c r="K165" s="9"/>
      <c r="L165" s="9"/>
      <c r="M165" s="9"/>
      <c r="N165" s="67"/>
    </row>
    <row r="166" spans="3:14" ht="39" customHeight="1" x14ac:dyDescent="0.25">
      <c r="J166" s="9"/>
      <c r="K166" s="70"/>
      <c r="L166" s="9"/>
      <c r="M166" s="9"/>
      <c r="N166" s="9"/>
    </row>
    <row r="167" spans="3:14" ht="39" customHeight="1" x14ac:dyDescent="0.25">
      <c r="J167" s="9"/>
      <c r="K167" s="70"/>
      <c r="L167" s="9"/>
      <c r="M167" s="9"/>
      <c r="N167" s="9"/>
    </row>
    <row r="171" spans="3:14" x14ac:dyDescent="0.25">
      <c r="K171" s="9"/>
      <c r="L171" s="9" t="s">
        <v>187</v>
      </c>
      <c r="M171" s="9"/>
      <c r="N171" s="9"/>
    </row>
    <row r="172" spans="3:14" x14ac:dyDescent="0.25">
      <c r="C172" t="s">
        <v>7</v>
      </c>
      <c r="K172" s="9"/>
      <c r="L172" s="9"/>
      <c r="M172" s="9"/>
      <c r="N172" s="9"/>
    </row>
    <row r="173" spans="3:14" x14ac:dyDescent="0.25">
      <c r="K173" s="9"/>
      <c r="L173" s="9"/>
      <c r="M173" s="9"/>
      <c r="N173" s="9"/>
    </row>
    <row r="174" spans="3:14" x14ac:dyDescent="0.25">
      <c r="K174" s="9"/>
      <c r="L174" s="9"/>
      <c r="M174" s="9"/>
      <c r="N174" s="9"/>
    </row>
    <row r="175" spans="3:14" x14ac:dyDescent="0.25">
      <c r="K175" s="9"/>
      <c r="L175" s="9"/>
      <c r="M175" s="9"/>
      <c r="N175" s="9"/>
    </row>
    <row r="176" spans="3:14" x14ac:dyDescent="0.25">
      <c r="K176" s="9"/>
      <c r="L176" s="9"/>
      <c r="M176" s="9"/>
      <c r="N176" s="9"/>
    </row>
    <row r="177" spans="11:14" x14ac:dyDescent="0.25">
      <c r="K177" s="9"/>
      <c r="L177" s="171" t="s">
        <v>188</v>
      </c>
      <c r="M177" s="9"/>
      <c r="N177" s="9"/>
    </row>
    <row r="178" spans="11:14" x14ac:dyDescent="0.25">
      <c r="K178" s="9"/>
      <c r="L178" s="9" t="s">
        <v>10</v>
      </c>
      <c r="M178" s="73">
        <v>0.02</v>
      </c>
      <c r="N178" s="9"/>
    </row>
    <row r="179" spans="11:14" ht="14.4" thickBot="1" x14ac:dyDescent="0.3">
      <c r="K179" s="9"/>
      <c r="L179" s="9" t="s">
        <v>189</v>
      </c>
      <c r="M179" s="9">
        <v>12</v>
      </c>
      <c r="N179" s="9"/>
    </row>
    <row r="180" spans="11:14" ht="14.4" thickBot="1" x14ac:dyDescent="0.3">
      <c r="K180" s="9"/>
      <c r="L180" s="9" t="s">
        <v>23</v>
      </c>
      <c r="M180" s="175"/>
      <c r="N180" s="9"/>
    </row>
    <row r="181" spans="11:14" x14ac:dyDescent="0.25">
      <c r="K181" s="9"/>
      <c r="L181" s="9"/>
      <c r="M181" s="9"/>
      <c r="N181" s="9"/>
    </row>
    <row r="182" spans="11:14" x14ac:dyDescent="0.25">
      <c r="K182" s="9"/>
      <c r="L182" s="9"/>
      <c r="M182" s="9"/>
      <c r="N182" s="9"/>
    </row>
    <row r="183" spans="11:14" x14ac:dyDescent="0.25">
      <c r="K183" s="9"/>
      <c r="L183" s="171" t="s">
        <v>190</v>
      </c>
      <c r="M183" s="9"/>
      <c r="N183" s="9"/>
    </row>
    <row r="184" spans="11:14" x14ac:dyDescent="0.25">
      <c r="K184" s="9"/>
      <c r="L184" s="9" t="s">
        <v>32</v>
      </c>
      <c r="M184" s="67">
        <v>5.5E-2</v>
      </c>
      <c r="N184" s="9"/>
    </row>
    <row r="185" spans="11:14" ht="14.4" thickBot="1" x14ac:dyDescent="0.3">
      <c r="K185" s="9"/>
      <c r="L185" s="9" t="s">
        <v>191</v>
      </c>
      <c r="M185" s="9">
        <v>4</v>
      </c>
      <c r="N185" s="9"/>
    </row>
    <row r="186" spans="11:14" ht="14.4" thickBot="1" x14ac:dyDescent="0.3">
      <c r="K186" s="9"/>
      <c r="L186" s="9" t="s">
        <v>23</v>
      </c>
      <c r="M186" s="175"/>
      <c r="N186" s="9"/>
    </row>
    <row r="187" spans="11:14" x14ac:dyDescent="0.25">
      <c r="K187" s="9"/>
      <c r="L187" s="9"/>
      <c r="M187" s="9"/>
      <c r="N187" s="9"/>
    </row>
    <row r="188" spans="11:14" x14ac:dyDescent="0.25">
      <c r="K188" s="9"/>
      <c r="L188" s="9"/>
      <c r="M188" s="9"/>
      <c r="N188" s="9"/>
    </row>
    <row r="189" spans="11:14" x14ac:dyDescent="0.25">
      <c r="K189" s="9"/>
      <c r="L189" s="171" t="s">
        <v>192</v>
      </c>
      <c r="M189" s="9"/>
      <c r="N189" s="9"/>
    </row>
    <row r="190" spans="11:14" x14ac:dyDescent="0.25">
      <c r="K190" s="9"/>
      <c r="L190" s="9" t="s">
        <v>193</v>
      </c>
      <c r="M190" s="9"/>
      <c r="N190" s="9"/>
    </row>
    <row r="191" spans="11:14" x14ac:dyDescent="0.25">
      <c r="K191" s="9"/>
      <c r="L191" s="9" t="s">
        <v>213</v>
      </c>
      <c r="M191" s="9"/>
      <c r="N191" s="9"/>
    </row>
    <row r="192" spans="11:14" x14ac:dyDescent="0.25">
      <c r="K192" s="9"/>
      <c r="L192" s="9" t="s">
        <v>194</v>
      </c>
      <c r="M192" s="9"/>
      <c r="N192" s="9"/>
    </row>
    <row r="193" spans="3:21" x14ac:dyDescent="0.25">
      <c r="K193" s="9"/>
      <c r="L193" s="9" t="s">
        <v>195</v>
      </c>
      <c r="M193" s="9"/>
      <c r="N193" s="9"/>
    </row>
    <row r="194" spans="3:21" ht="14.4" thickBot="1" x14ac:dyDescent="0.3">
      <c r="K194" s="9"/>
      <c r="L194" s="9" t="s">
        <v>196</v>
      </c>
      <c r="M194" s="9">
        <v>6</v>
      </c>
      <c r="N194" s="9"/>
    </row>
    <row r="195" spans="3:21" ht="14.4" thickBot="1" x14ac:dyDescent="0.3">
      <c r="K195" s="9"/>
      <c r="L195" s="9"/>
      <c r="M195" s="177"/>
      <c r="N195" s="9"/>
    </row>
    <row r="196" spans="3:21" x14ac:dyDescent="0.25">
      <c r="K196" s="9"/>
      <c r="L196" s="9"/>
      <c r="M196" s="9"/>
      <c r="N196" s="9"/>
    </row>
    <row r="197" spans="3:21" x14ac:dyDescent="0.25">
      <c r="K197" s="9"/>
      <c r="L197" s="171" t="s">
        <v>89</v>
      </c>
      <c r="M197" s="9"/>
      <c r="N197" s="9"/>
    </row>
    <row r="198" spans="3:21" x14ac:dyDescent="0.25">
      <c r="K198" s="9"/>
      <c r="L198" s="9" t="s">
        <v>193</v>
      </c>
      <c r="M198" s="9"/>
      <c r="N198" s="9"/>
    </row>
    <row r="199" spans="3:21" x14ac:dyDescent="0.25">
      <c r="K199" s="9"/>
      <c r="L199" s="9" t="s">
        <v>38</v>
      </c>
      <c r="M199" s="67">
        <v>5.0000000000000001E-4</v>
      </c>
      <c r="N199" s="9"/>
    </row>
    <row r="200" spans="3:21" x14ac:dyDescent="0.25">
      <c r="K200" s="9" t="s">
        <v>1</v>
      </c>
      <c r="L200" s="9" t="s">
        <v>202</v>
      </c>
      <c r="M200" s="9">
        <v>365</v>
      </c>
      <c r="N200" s="9"/>
    </row>
    <row r="201" spans="3:21" ht="14.4" thickBot="1" x14ac:dyDescent="0.3">
      <c r="K201" s="9"/>
      <c r="L201" s="9" t="s">
        <v>197</v>
      </c>
      <c r="M201" s="9"/>
      <c r="N201" s="9"/>
    </row>
    <row r="202" spans="3:21" ht="14.4" thickBot="1" x14ac:dyDescent="0.3">
      <c r="K202" s="9"/>
      <c r="L202" s="9" t="s">
        <v>198</v>
      </c>
      <c r="M202" s="9"/>
      <c r="N202" s="168"/>
    </row>
    <row r="203" spans="3:21" ht="14.4" thickBot="1" x14ac:dyDescent="0.3">
      <c r="J203" s="1"/>
      <c r="K203" s="9" t="s">
        <v>319</v>
      </c>
      <c r="L203" s="9" t="s">
        <v>199</v>
      </c>
      <c r="M203" s="9"/>
      <c r="N203" s="145"/>
      <c r="U203"/>
    </row>
    <row r="204" spans="3:21" x14ac:dyDescent="0.25">
      <c r="K204" s="9"/>
      <c r="L204" s="9"/>
      <c r="M204" s="9"/>
      <c r="N204" s="9"/>
      <c r="U204"/>
    </row>
    <row r="205" spans="3:21" ht="14.4" thickBot="1" x14ac:dyDescent="0.3">
      <c r="E205" s="91"/>
      <c r="F205" s="92"/>
      <c r="G205" s="91"/>
      <c r="H205" s="91"/>
      <c r="I205" s="91"/>
      <c r="J205" s="91"/>
      <c r="K205" s="9"/>
      <c r="L205" s="9"/>
      <c r="M205" s="9"/>
      <c r="N205" s="9"/>
      <c r="U205"/>
    </row>
    <row r="206" spans="3:21" ht="14.4" thickBot="1" x14ac:dyDescent="0.3">
      <c r="C206" s="91"/>
      <c r="E206" s="89"/>
      <c r="F206" s="91"/>
      <c r="G206" s="91"/>
      <c r="H206" s="91"/>
      <c r="I206" s="91"/>
      <c r="J206" s="91"/>
      <c r="K206" s="71"/>
      <c r="L206" s="9" t="s">
        <v>200</v>
      </c>
      <c r="M206" s="88"/>
      <c r="N206" s="9"/>
      <c r="U206"/>
    </row>
    <row r="207" spans="3:21" x14ac:dyDescent="0.25">
      <c r="C207" s="9"/>
      <c r="D207" s="9"/>
      <c r="E207" s="91"/>
      <c r="F207" s="99"/>
      <c r="G207" s="91"/>
      <c r="H207" s="91"/>
      <c r="I207" s="91"/>
      <c r="J207" s="91"/>
      <c r="K207" s="9"/>
      <c r="L207" s="9"/>
      <c r="M207" s="9"/>
      <c r="N207" s="9"/>
      <c r="U207"/>
    </row>
    <row r="208" spans="3:21" x14ac:dyDescent="0.25">
      <c r="E208" s="91"/>
      <c r="F208" s="91"/>
      <c r="G208" s="101"/>
      <c r="H208" s="91"/>
      <c r="I208" s="91"/>
      <c r="J208" s="91"/>
      <c r="K208" s="83"/>
      <c r="L208" s="83" t="s">
        <v>201</v>
      </c>
      <c r="M208" s="83"/>
      <c r="N208" s="9"/>
      <c r="U208"/>
    </row>
    <row r="209" spans="5:21" x14ac:dyDescent="0.25">
      <c r="E209" s="91"/>
      <c r="F209" s="91"/>
      <c r="G209" s="91"/>
      <c r="H209" s="91"/>
      <c r="I209" s="91"/>
      <c r="J209" s="91"/>
      <c r="U209"/>
    </row>
    <row r="210" spans="5:21" x14ac:dyDescent="0.25">
      <c r="E210" s="89"/>
      <c r="F210" s="91"/>
      <c r="G210" s="91"/>
      <c r="H210" s="91"/>
      <c r="I210" s="91"/>
      <c r="J210" s="91"/>
      <c r="U210"/>
    </row>
    <row r="211" spans="5:21" x14ac:dyDescent="0.25">
      <c r="E211" s="91"/>
      <c r="F211" s="102"/>
      <c r="G211" s="91"/>
      <c r="H211" s="91"/>
      <c r="I211" s="91"/>
      <c r="J211" s="91"/>
      <c r="U211"/>
    </row>
    <row r="212" spans="5:21" x14ac:dyDescent="0.25">
      <c r="E212" s="91"/>
      <c r="F212" s="91"/>
      <c r="G212" s="103"/>
      <c r="H212" s="91"/>
      <c r="I212" s="91"/>
      <c r="J212" s="91"/>
      <c r="U212"/>
    </row>
    <row r="213" spans="5:21" x14ac:dyDescent="0.25">
      <c r="E213" s="91"/>
      <c r="F213" s="91"/>
      <c r="G213" s="91"/>
      <c r="H213" s="91"/>
      <c r="I213" s="91"/>
      <c r="J213" s="91"/>
      <c r="U213"/>
    </row>
    <row r="214" spans="5:21" x14ac:dyDescent="0.25">
      <c r="E214" s="89"/>
      <c r="F214" s="91"/>
      <c r="G214" s="91"/>
      <c r="H214" s="91"/>
      <c r="I214" s="91"/>
      <c r="J214" s="91"/>
    </row>
    <row r="215" spans="5:21" x14ac:dyDescent="0.25">
      <c r="E215" s="91"/>
      <c r="F215" s="99"/>
      <c r="G215" s="104"/>
      <c r="H215" s="91"/>
      <c r="I215" s="91"/>
      <c r="J215" s="91"/>
    </row>
    <row r="216" spans="5:21" x14ac:dyDescent="0.25">
      <c r="E216" s="91"/>
      <c r="F216" s="91"/>
      <c r="G216" s="91"/>
      <c r="H216" s="91"/>
      <c r="I216" s="91"/>
      <c r="J216" s="91"/>
    </row>
    <row r="217" spans="5:21" x14ac:dyDescent="0.25">
      <c r="E217" s="91"/>
      <c r="F217" s="100"/>
      <c r="G217" s="91"/>
      <c r="H217" s="91"/>
      <c r="I217" s="91"/>
      <c r="J217" s="91"/>
    </row>
    <row r="218" spans="5:21" x14ac:dyDescent="0.25">
      <c r="E218" s="91"/>
      <c r="F218" s="91"/>
      <c r="G218" s="91"/>
      <c r="H218" s="91"/>
      <c r="I218" s="91"/>
      <c r="J218" s="91"/>
    </row>
    <row r="219" spans="5:21" x14ac:dyDescent="0.25">
      <c r="E219" s="89"/>
      <c r="F219" s="91"/>
      <c r="G219" s="91"/>
      <c r="H219" s="91"/>
      <c r="I219" s="91"/>
      <c r="J219" s="91"/>
    </row>
    <row r="220" spans="5:21" x14ac:dyDescent="0.25">
      <c r="E220" s="91"/>
      <c r="F220" s="102"/>
      <c r="G220" s="103"/>
      <c r="H220" s="91"/>
      <c r="I220" s="91"/>
      <c r="J220" s="91"/>
    </row>
    <row r="221" spans="5:21" x14ac:dyDescent="0.25">
      <c r="E221" s="91"/>
      <c r="F221" s="91"/>
      <c r="G221" s="91"/>
      <c r="H221" s="91"/>
      <c r="I221" s="91"/>
      <c r="J221" s="91"/>
    </row>
    <row r="222" spans="5:21" x14ac:dyDescent="0.25">
      <c r="E222" s="91"/>
      <c r="F222" s="91"/>
      <c r="G222" s="91"/>
      <c r="H222" s="91"/>
      <c r="I222" s="92"/>
      <c r="J222" s="91"/>
    </row>
    <row r="223" spans="5:21" x14ac:dyDescent="0.25">
      <c r="E223" s="91"/>
      <c r="F223" s="91"/>
      <c r="G223" s="91"/>
      <c r="H223" s="91"/>
      <c r="I223" s="94"/>
      <c r="J223" s="91"/>
    </row>
    <row r="236" spans="3:15" x14ac:dyDescent="0.25">
      <c r="C236" t="s">
        <v>7</v>
      </c>
    </row>
    <row r="239" spans="3:15" x14ac:dyDescent="0.25">
      <c r="O239" s="9"/>
    </row>
    <row r="249" spans="3:15" ht="29.4" customHeight="1" x14ac:dyDescent="0.25">
      <c r="C249" s="95"/>
      <c r="D249" s="95"/>
      <c r="E249" s="95"/>
      <c r="F249" s="95"/>
      <c r="G249" s="95"/>
    </row>
    <row r="250" spans="3:15" ht="29.4" customHeight="1" x14ac:dyDescent="0.25">
      <c r="K250" s="257" t="s">
        <v>318</v>
      </c>
      <c r="L250" s="257"/>
      <c r="M250" s="257"/>
    </row>
    <row r="251" spans="3:15" ht="29.4" customHeight="1" x14ac:dyDescent="0.25">
      <c r="K251" s="9"/>
      <c r="L251" s="9"/>
    </row>
    <row r="252" spans="3:15" ht="29.4" customHeight="1" x14ac:dyDescent="0.25">
      <c r="K252" s="66" t="s">
        <v>204</v>
      </c>
      <c r="L252" s="9">
        <v>4600</v>
      </c>
    </row>
    <row r="253" spans="3:15" ht="29.4" customHeight="1" x14ac:dyDescent="0.25">
      <c r="K253" s="9" t="s">
        <v>205</v>
      </c>
      <c r="L253" s="9">
        <v>5</v>
      </c>
    </row>
    <row r="254" spans="3:15" ht="29.4" customHeight="1" thickBot="1" x14ac:dyDescent="0.3">
      <c r="K254" s="9" t="s">
        <v>206</v>
      </c>
      <c r="L254" s="67">
        <v>8.0000000000000002E-3</v>
      </c>
      <c r="O254" s="9"/>
    </row>
    <row r="255" spans="3:15" ht="29.4" customHeight="1" thickBot="1" x14ac:dyDescent="0.3">
      <c r="J255" s="176"/>
      <c r="K255" s="66" t="s">
        <v>207</v>
      </c>
      <c r="L255" s="169"/>
    </row>
    <row r="256" spans="3:15" ht="29.4" customHeight="1" thickBot="1" x14ac:dyDescent="0.3">
      <c r="K256" s="9"/>
      <c r="L256" s="9"/>
    </row>
    <row r="257" spans="9:12" ht="29.4" customHeight="1" thickBot="1" x14ac:dyDescent="0.3">
      <c r="J257" s="1"/>
      <c r="K257" s="9" t="s">
        <v>208</v>
      </c>
      <c r="L257" s="145"/>
    </row>
    <row r="258" spans="9:12" ht="29.4" customHeight="1" thickBot="1" x14ac:dyDescent="0.3">
      <c r="K258" s="9"/>
      <c r="L258" s="9"/>
    </row>
    <row r="259" spans="9:12" ht="29.4" customHeight="1" thickBot="1" x14ac:dyDescent="0.3">
      <c r="I259" s="1"/>
      <c r="J259" s="1"/>
      <c r="K259" s="9" t="s">
        <v>209</v>
      </c>
      <c r="L259" s="145"/>
    </row>
    <row r="260" spans="9:12" ht="29.4" customHeight="1" x14ac:dyDescent="0.25">
      <c r="K260" s="9"/>
      <c r="L260" s="9"/>
    </row>
    <row r="261" spans="9:12" ht="29.4" customHeight="1" x14ac:dyDescent="0.25">
      <c r="K261" s="9" t="s">
        <v>203</v>
      </c>
      <c r="L261" s="9">
        <v>19800</v>
      </c>
    </row>
    <row r="262" spans="9:12" ht="29.4" customHeight="1" thickBot="1" x14ac:dyDescent="0.3">
      <c r="K262" s="9"/>
      <c r="L262" s="9"/>
    </row>
    <row r="263" spans="9:12" ht="29.4" customHeight="1" thickBot="1" x14ac:dyDescent="0.3">
      <c r="K263" s="9" t="s">
        <v>210</v>
      </c>
      <c r="L263" s="143"/>
    </row>
    <row r="264" spans="9:12" x14ac:dyDescent="0.25">
      <c r="K264" s="9"/>
      <c r="L264" s="9"/>
    </row>
    <row r="272" spans="9:12" x14ac:dyDescent="0.25">
      <c r="L272" s="9"/>
    </row>
    <row r="273" spans="10:15" x14ac:dyDescent="0.25">
      <c r="L273" s="9"/>
    </row>
    <row r="274" spans="10:15" ht="17.399999999999999" x14ac:dyDescent="0.3">
      <c r="L274" s="180"/>
      <c r="M274" s="180"/>
      <c r="N274" s="179"/>
      <c r="O274" s="179"/>
    </row>
    <row r="275" spans="10:15" ht="17.399999999999999" x14ac:dyDescent="0.3">
      <c r="K275" s="180" t="s">
        <v>211</v>
      </c>
      <c r="L275" s="180">
        <v>200000</v>
      </c>
      <c r="M275" s="179"/>
      <c r="O275" s="179"/>
    </row>
    <row r="276" spans="10:15" ht="17.399999999999999" x14ac:dyDescent="0.3">
      <c r="K276" s="180" t="s">
        <v>212</v>
      </c>
      <c r="L276" s="180">
        <v>2</v>
      </c>
      <c r="M276" s="179"/>
      <c r="O276" s="179"/>
    </row>
    <row r="277" spans="10:15" ht="18" thickBot="1" x14ac:dyDescent="0.35">
      <c r="K277" s="180"/>
      <c r="L277" s="180"/>
      <c r="M277" s="179"/>
      <c r="O277" s="179"/>
    </row>
    <row r="278" spans="10:15" ht="17.399999999999999" x14ac:dyDescent="0.3">
      <c r="J278" s="10"/>
      <c r="K278" s="210" t="s">
        <v>213</v>
      </c>
      <c r="L278" s="211"/>
      <c r="M278" s="180"/>
      <c r="O278" s="179"/>
    </row>
    <row r="279" spans="10:15" ht="17.399999999999999" x14ac:dyDescent="0.3">
      <c r="J279" s="16"/>
      <c r="K279" s="212" t="s">
        <v>303</v>
      </c>
      <c r="L279" s="213"/>
      <c r="M279" s="180"/>
      <c r="O279" s="179"/>
    </row>
    <row r="280" spans="10:15" ht="17.399999999999999" x14ac:dyDescent="0.3">
      <c r="J280" s="16"/>
      <c r="K280" s="180" t="s">
        <v>304</v>
      </c>
      <c r="L280" s="182">
        <v>0.1</v>
      </c>
      <c r="M280" s="180"/>
      <c r="O280" s="179"/>
    </row>
    <row r="281" spans="10:15" ht="17.399999999999999" x14ac:dyDescent="0.3">
      <c r="J281" s="16"/>
      <c r="K281" s="180" t="s">
        <v>214</v>
      </c>
      <c r="L281" s="183">
        <v>4</v>
      </c>
      <c r="O281" s="179"/>
    </row>
    <row r="282" spans="10:15" ht="18" thickBot="1" x14ac:dyDescent="0.3">
      <c r="J282" s="16"/>
      <c r="K282" s="180"/>
      <c r="L282" s="183"/>
      <c r="M282" s="180"/>
      <c r="O282" s="180"/>
    </row>
    <row r="283" spans="10:15" ht="18" thickBot="1" x14ac:dyDescent="0.35">
      <c r="J283" s="17"/>
      <c r="K283" s="214" t="s">
        <v>215</v>
      </c>
      <c r="L283" s="218"/>
      <c r="O283" s="179"/>
    </row>
    <row r="284" spans="10:15" ht="17.399999999999999" x14ac:dyDescent="0.3">
      <c r="K284" s="180"/>
      <c r="L284" s="180"/>
      <c r="M284" s="179"/>
      <c r="O284" s="179"/>
    </row>
    <row r="285" spans="10:15" ht="17.399999999999999" x14ac:dyDescent="0.25">
      <c r="L285" s="180"/>
      <c r="O285" s="180"/>
    </row>
    <row r="288" spans="10:15" ht="17.399999999999999" x14ac:dyDescent="0.25">
      <c r="K288" s="215" t="s">
        <v>307</v>
      </c>
      <c r="L288" s="95">
        <v>200000</v>
      </c>
      <c r="O288" s="180"/>
    </row>
    <row r="289" spans="3:15" ht="17.399999999999999" x14ac:dyDescent="0.25">
      <c r="K289" s="91" t="s">
        <v>308</v>
      </c>
      <c r="L289" s="95">
        <v>200</v>
      </c>
      <c r="O289" s="180"/>
    </row>
    <row r="290" spans="3:15" ht="17.399999999999999" x14ac:dyDescent="0.25">
      <c r="O290" s="180"/>
    </row>
    <row r="291" spans="3:15" ht="17.399999999999999" x14ac:dyDescent="0.3">
      <c r="O291" s="179"/>
    </row>
    <row r="292" spans="3:15" ht="17.399999999999999" x14ac:dyDescent="0.3">
      <c r="O292" s="179"/>
    </row>
    <row r="293" spans="3:15" ht="22.8" x14ac:dyDescent="0.4">
      <c r="J293" s="220"/>
      <c r="K293" s="221" t="s">
        <v>197</v>
      </c>
      <c r="L293" s="220"/>
      <c r="O293" s="179"/>
    </row>
    <row r="294" spans="3:15" ht="14.4" thickBot="1" x14ac:dyDescent="0.3"/>
    <row r="295" spans="3:15" ht="23.4" thickBot="1" x14ac:dyDescent="0.3">
      <c r="I295" s="95"/>
      <c r="J295" s="219" t="s">
        <v>305</v>
      </c>
      <c r="K295" s="95"/>
      <c r="L295" s="184"/>
    </row>
    <row r="296" spans="3:15" ht="17.399999999999999" x14ac:dyDescent="0.25">
      <c r="K296" s="178"/>
      <c r="L296" s="180"/>
    </row>
    <row r="297" spans="3:15" ht="17.399999999999999" x14ac:dyDescent="0.25">
      <c r="M297" s="181"/>
      <c r="N297" s="1"/>
    </row>
    <row r="298" spans="3:15" ht="20.399999999999999" x14ac:dyDescent="0.25">
      <c r="J298" s="216" t="s">
        <v>309</v>
      </c>
      <c r="L298">
        <v>500</v>
      </c>
    </row>
    <row r="299" spans="3:15" ht="20.399999999999999" x14ac:dyDescent="0.25">
      <c r="C299" s="91"/>
      <c r="D299" s="92"/>
      <c r="E299" s="91"/>
      <c r="F299" s="91"/>
      <c r="G299" s="100"/>
      <c r="H299" s="9" t="s">
        <v>319</v>
      </c>
      <c r="J299" s="216" t="s">
        <v>306</v>
      </c>
      <c r="L299" s="1"/>
      <c r="M299" s="1"/>
    </row>
    <row r="300" spans="3:15" ht="14.4" thickBot="1" x14ac:dyDescent="0.3">
      <c r="C300" s="91"/>
      <c r="D300" s="91"/>
      <c r="E300" s="91"/>
      <c r="F300" s="91"/>
      <c r="G300" s="91"/>
      <c r="H300" s="91"/>
    </row>
    <row r="301" spans="3:15" ht="21" thickBot="1" x14ac:dyDescent="0.3">
      <c r="C301" s="91"/>
      <c r="D301" s="91"/>
      <c r="E301" s="91"/>
      <c r="F301" s="91"/>
      <c r="G301" s="92"/>
      <c r="H301" s="91"/>
      <c r="J301" s="79" t="s">
        <v>216</v>
      </c>
      <c r="L301" s="185"/>
    </row>
    <row r="302" spans="3:15" ht="18" thickBot="1" x14ac:dyDescent="0.35">
      <c r="C302" s="91"/>
      <c r="D302" s="91"/>
      <c r="E302" s="91"/>
      <c r="F302" s="91"/>
      <c r="G302" s="94"/>
      <c r="H302" s="91"/>
      <c r="K302" s="21"/>
      <c r="L302" s="179"/>
    </row>
    <row r="303" spans="3:15" ht="21" thickBot="1" x14ac:dyDescent="0.4">
      <c r="C303" s="91"/>
      <c r="D303" s="99"/>
      <c r="E303" s="91"/>
      <c r="F303" s="91"/>
      <c r="G303" s="91"/>
      <c r="H303" s="91"/>
      <c r="I303" s="9"/>
      <c r="J303" s="217" t="s">
        <v>217</v>
      </c>
      <c r="L303" s="186"/>
    </row>
    <row r="304" spans="3:15" x14ac:dyDescent="0.25">
      <c r="C304" s="91"/>
      <c r="D304" s="91"/>
      <c r="E304" s="91"/>
      <c r="F304" s="91"/>
      <c r="G304" s="187"/>
      <c r="H304" s="91"/>
    </row>
    <row r="305" spans="3:10" x14ac:dyDescent="0.25">
      <c r="C305" s="91"/>
      <c r="D305" s="91"/>
      <c r="E305" s="91"/>
      <c r="F305" s="91"/>
      <c r="G305" s="187"/>
      <c r="H305" s="91"/>
    </row>
    <row r="314" spans="3:10" x14ac:dyDescent="0.25">
      <c r="C314" s="95"/>
      <c r="D314" s="95"/>
      <c r="E314" s="95"/>
      <c r="F314" s="95"/>
      <c r="G314" s="91"/>
      <c r="H314" s="91"/>
    </row>
    <row r="315" spans="3:10" x14ac:dyDescent="0.25">
      <c r="C315" s="95"/>
      <c r="D315" s="95"/>
      <c r="E315" s="95"/>
      <c r="F315" s="95"/>
      <c r="G315" s="91"/>
      <c r="H315" s="91"/>
    </row>
    <row r="318" spans="3:10" x14ac:dyDescent="0.25">
      <c r="J318" s="1"/>
    </row>
    <row r="320" spans="3:10" x14ac:dyDescent="0.25">
      <c r="J320" s="5"/>
    </row>
    <row r="323" spans="3:8" x14ac:dyDescent="0.25">
      <c r="C323" s="91"/>
      <c r="D323" s="91"/>
      <c r="E323" s="91"/>
      <c r="F323" s="91"/>
      <c r="G323" s="91"/>
      <c r="H323" s="91"/>
    </row>
    <row r="351" spans="4:5" x14ac:dyDescent="0.25">
      <c r="D351" s="95" t="s">
        <v>7</v>
      </c>
      <c r="E351" s="95"/>
    </row>
    <row r="359" spans="17:21" x14ac:dyDescent="0.25">
      <c r="Q359" s="9" t="s">
        <v>108</v>
      </c>
      <c r="R359" s="70">
        <v>89000</v>
      </c>
    </row>
    <row r="360" spans="17:21" x14ac:dyDescent="0.25">
      <c r="Q360" s="9" t="s">
        <v>109</v>
      </c>
      <c r="R360" s="73">
        <v>0.05</v>
      </c>
      <c r="T360" s="69" t="s">
        <v>8</v>
      </c>
    </row>
    <row r="361" spans="17:21" x14ac:dyDescent="0.25">
      <c r="Q361" s="9" t="s">
        <v>110</v>
      </c>
      <c r="R361" s="73">
        <v>0.03</v>
      </c>
      <c r="T361" s="75">
        <f>R359*(1-R360)</f>
        <v>84550</v>
      </c>
      <c r="U361" s="9" t="s">
        <v>5</v>
      </c>
    </row>
    <row r="362" spans="17:21" x14ac:dyDescent="0.25">
      <c r="Q362" s="9" t="s">
        <v>111</v>
      </c>
      <c r="R362" s="76">
        <f>R359/3</f>
        <v>29666.666666666668</v>
      </c>
    </row>
    <row r="363" spans="17:21" x14ac:dyDescent="0.25">
      <c r="Q363" s="9" t="s">
        <v>10</v>
      </c>
      <c r="R363" s="73">
        <v>0.01</v>
      </c>
      <c r="T363" s="69" t="s">
        <v>9</v>
      </c>
    </row>
    <row r="364" spans="17:21" x14ac:dyDescent="0.25">
      <c r="Q364" s="9" t="s">
        <v>23</v>
      </c>
      <c r="R364" s="71">
        <f>(1+R363)^12-1</f>
        <v>0.12682503013196977</v>
      </c>
      <c r="T364" s="9" t="s">
        <v>112</v>
      </c>
      <c r="U364" s="68">
        <f>R359*(1+R361)</f>
        <v>91670</v>
      </c>
    </row>
    <row r="365" spans="17:21" x14ac:dyDescent="0.25">
      <c r="Q365" s="9" t="s">
        <v>12</v>
      </c>
      <c r="R365" s="71">
        <f>(1+R363)^6-1</f>
        <v>6.1520150601000134E-2</v>
      </c>
      <c r="U365" s="68"/>
    </row>
    <row r="366" spans="17:21" x14ac:dyDescent="0.25">
      <c r="T366" s="72">
        <f>PV(R364,1,,-U364)</f>
        <v>81352.47048005664</v>
      </c>
      <c r="U366" s="9" t="s">
        <v>5</v>
      </c>
    </row>
    <row r="368" spans="17:21" x14ac:dyDescent="0.25">
      <c r="T368" s="69" t="s">
        <v>57</v>
      </c>
    </row>
    <row r="369" spans="4:21" x14ac:dyDescent="0.25">
      <c r="T369" s="74">
        <f>PV(R365,3,-R362)</f>
        <v>79076.849316409556</v>
      </c>
      <c r="U369" s="9" t="s">
        <v>5</v>
      </c>
    </row>
    <row r="383" spans="4:21" x14ac:dyDescent="0.25">
      <c r="D383" s="95" t="s">
        <v>7</v>
      </c>
    </row>
    <row r="389" spans="4:21" x14ac:dyDescent="0.25">
      <c r="E389" s="95"/>
      <c r="F389" s="95"/>
    </row>
    <row r="390" spans="4:21" x14ac:dyDescent="0.25">
      <c r="D390" s="95"/>
      <c r="E390" s="95"/>
      <c r="F390" s="95"/>
    </row>
    <row r="400" spans="4:21" x14ac:dyDescent="0.25">
      <c r="Q400" s="9" t="s">
        <v>113</v>
      </c>
      <c r="R400" s="9">
        <v>7200</v>
      </c>
      <c r="T400" s="69" t="s">
        <v>114</v>
      </c>
      <c r="U400" s="69" t="s">
        <v>115</v>
      </c>
    </row>
    <row r="401" spans="17:21" x14ac:dyDescent="0.25">
      <c r="Q401" s="9" t="s">
        <v>116</v>
      </c>
      <c r="R401" s="73">
        <v>0.02</v>
      </c>
      <c r="T401" s="9">
        <v>1</v>
      </c>
      <c r="U401" s="68">
        <f>R400/(1+R401)^12</f>
        <v>5677.1508641879263</v>
      </c>
    </row>
    <row r="402" spans="17:21" x14ac:dyDescent="0.25">
      <c r="Q402" s="9" t="s">
        <v>117</v>
      </c>
      <c r="R402" s="77">
        <v>2.5000000000000001E-2</v>
      </c>
      <c r="T402" s="9">
        <v>2</v>
      </c>
      <c r="U402" s="68">
        <f>R400/((1+R401)^12*(1+R402)^12)</f>
        <v>4221.2789353569906</v>
      </c>
    </row>
    <row r="403" spans="17:21" x14ac:dyDescent="0.25">
      <c r="Q403" s="9" t="s">
        <v>118</v>
      </c>
      <c r="R403" s="73">
        <v>0.03</v>
      </c>
      <c r="T403" s="9">
        <v>3</v>
      </c>
      <c r="U403" s="68">
        <f>R400/((1+R401)^12*(1+R402)^12*(1+R403)^12)</f>
        <v>2960.7201139418075</v>
      </c>
    </row>
    <row r="405" spans="17:21" x14ac:dyDescent="0.25">
      <c r="S405" s="9" t="s">
        <v>119</v>
      </c>
      <c r="U405" s="78">
        <f>SUM(U401:U403)</f>
        <v>12859.149913486723</v>
      </c>
    </row>
  </sheetData>
  <mergeCells count="1">
    <mergeCell ref="K250:M25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9E09-549E-42FB-9D64-97AAAB4E99C9}">
  <dimension ref="A1:AI81"/>
  <sheetViews>
    <sheetView rightToLeft="1" topLeftCell="A19" zoomScale="70" zoomScaleNormal="70" workbookViewId="0">
      <selection activeCell="F60" sqref="F60"/>
    </sheetView>
  </sheetViews>
  <sheetFormatPr defaultRowHeight="13.8" x14ac:dyDescent="0.25"/>
  <cols>
    <col min="7" max="7" width="8.8984375" bestFit="1" customWidth="1"/>
    <col min="9" max="9" width="10.296875" bestFit="1" customWidth="1"/>
    <col min="11" max="11" width="29.09765625" bestFit="1" customWidth="1"/>
    <col min="15" max="15" width="15" bestFit="1" customWidth="1"/>
    <col min="16" max="16" width="14.09765625" bestFit="1" customWidth="1"/>
    <col min="17" max="17" width="11.19921875" customWidth="1"/>
    <col min="18" max="18" width="6.296875" bestFit="1" customWidth="1"/>
    <col min="19" max="19" width="23.3984375" bestFit="1" customWidth="1"/>
    <col min="20" max="20" width="11.296875" bestFit="1" customWidth="1"/>
    <col min="22" max="22" width="30.5" customWidth="1"/>
    <col min="23" max="23" width="45.19921875" bestFit="1" customWidth="1"/>
    <col min="24" max="24" width="18.19921875" bestFit="1" customWidth="1"/>
    <col min="25" max="25" width="14.59765625" bestFit="1" customWidth="1"/>
    <col min="27" max="27" width="29" bestFit="1" customWidth="1"/>
    <col min="29" max="29" width="11.296875" bestFit="1" customWidth="1"/>
    <col min="33" max="33" width="22" bestFit="1" customWidth="1"/>
    <col min="38" max="38" width="11.8984375" bestFit="1" customWidth="1"/>
  </cols>
  <sheetData>
    <row r="1" spans="1:24" x14ac:dyDescent="0.25">
      <c r="A1" t="s">
        <v>284</v>
      </c>
    </row>
    <row r="2" spans="1:24" x14ac:dyDescent="0.25">
      <c r="P2" s="51" t="s">
        <v>173</v>
      </c>
      <c r="Q2" s="51">
        <v>25000</v>
      </c>
    </row>
    <row r="14" spans="1:24" x14ac:dyDescent="0.25">
      <c r="X14" s="68"/>
    </row>
    <row r="23" spans="19:35" x14ac:dyDescent="0.25">
      <c r="U23" s="9"/>
      <c r="V23" s="9"/>
      <c r="W23" s="9"/>
      <c r="X23" s="9"/>
      <c r="Y23" s="9"/>
    </row>
    <row r="24" spans="19:35" x14ac:dyDescent="0.25">
      <c r="S24" s="146" t="s">
        <v>9</v>
      </c>
      <c r="U24" s="9"/>
      <c r="V24" s="9"/>
      <c r="W24" s="9"/>
      <c r="X24" s="9"/>
      <c r="Y24" s="9"/>
    </row>
    <row r="25" spans="19:35" x14ac:dyDescent="0.25">
      <c r="U25" s="9"/>
      <c r="V25" s="9"/>
      <c r="W25" s="9"/>
      <c r="X25" s="9"/>
      <c r="Y25" s="9"/>
      <c r="AD25" s="95"/>
    </row>
    <row r="26" spans="19:35" ht="14.4" thickBot="1" x14ac:dyDescent="0.3">
      <c r="S26" t="s">
        <v>167</v>
      </c>
      <c r="U26" s="9"/>
      <c r="V26" s="9"/>
      <c r="W26" s="9"/>
      <c r="X26" s="9"/>
      <c r="Y26" s="9"/>
      <c r="AD26" s="95"/>
      <c r="AE26" s="90"/>
      <c r="AF26" s="91"/>
      <c r="AG26" s="91"/>
      <c r="AH26" s="91"/>
      <c r="AI26" s="91"/>
    </row>
    <row r="27" spans="19:35" ht="14.4" thickBot="1" x14ac:dyDescent="0.3">
      <c r="S27" t="s">
        <v>168</v>
      </c>
      <c r="T27">
        <v>13500</v>
      </c>
      <c r="U27" s="9"/>
      <c r="V27" s="9" t="s">
        <v>292</v>
      </c>
      <c r="W27" s="9"/>
      <c r="X27" s="144"/>
      <c r="Y27" s="9"/>
      <c r="AD27" s="95"/>
      <c r="AE27" s="91"/>
      <c r="AF27" s="91"/>
      <c r="AG27" s="91"/>
      <c r="AH27" s="91"/>
      <c r="AI27" s="91"/>
    </row>
    <row r="28" spans="19:35" x14ac:dyDescent="0.25">
      <c r="S28" t="s">
        <v>169</v>
      </c>
      <c r="T28">
        <v>13500</v>
      </c>
      <c r="U28" s="9"/>
      <c r="AE28" s="91"/>
      <c r="AF28" s="91"/>
      <c r="AG28" s="91"/>
      <c r="AH28" s="91"/>
      <c r="AI28" s="91"/>
    </row>
    <row r="29" spans="19:35" x14ac:dyDescent="0.25">
      <c r="U29" s="9"/>
      <c r="AB29" s="89"/>
      <c r="AC29" s="91"/>
      <c r="AE29" s="92"/>
      <c r="AF29" s="91"/>
      <c r="AG29" s="91"/>
      <c r="AH29" s="91"/>
      <c r="AI29" s="93"/>
    </row>
    <row r="30" spans="19:35" ht="14.4" thickBot="1" x14ac:dyDescent="0.3">
      <c r="U30" s="9"/>
      <c r="AB30" s="91"/>
      <c r="AC30" s="91"/>
      <c r="AE30" s="91"/>
      <c r="AF30" s="91"/>
      <c r="AG30" s="91"/>
      <c r="AH30" s="91"/>
      <c r="AI30" s="94"/>
    </row>
    <row r="31" spans="19:35" ht="14.4" thickBot="1" x14ac:dyDescent="0.3">
      <c r="V31" s="9" t="s">
        <v>291</v>
      </c>
      <c r="W31" s="9"/>
      <c r="X31" s="145"/>
      <c r="AB31" s="89"/>
      <c r="AC31" s="91"/>
      <c r="AE31" s="91"/>
      <c r="AF31" s="91"/>
      <c r="AG31" s="91"/>
      <c r="AH31" s="91"/>
      <c r="AI31" s="93"/>
    </row>
    <row r="32" spans="19:35" ht="14.4" thickBot="1" x14ac:dyDescent="0.3">
      <c r="Y32" s="9"/>
      <c r="AE32" s="91"/>
      <c r="AF32" s="91"/>
      <c r="AG32" s="91"/>
      <c r="AH32" s="91"/>
      <c r="AI32" s="91"/>
    </row>
    <row r="33" spans="22:35" ht="14.4" thickBot="1" x14ac:dyDescent="0.3">
      <c r="V33" s="9" t="s">
        <v>170</v>
      </c>
      <c r="W33" s="9"/>
      <c r="X33" s="144"/>
      <c r="Y33" s="9"/>
      <c r="AE33" s="91"/>
      <c r="AF33" s="91"/>
      <c r="AG33" s="93"/>
      <c r="AH33" s="91"/>
      <c r="AI33" s="91"/>
    </row>
    <row r="34" spans="22:35" ht="14.4" thickBot="1" x14ac:dyDescent="0.3"/>
    <row r="35" spans="22:35" ht="14.4" thickBot="1" x14ac:dyDescent="0.3">
      <c r="V35" s="9" t="s">
        <v>171</v>
      </c>
      <c r="W35" s="9"/>
      <c r="X35" s="143"/>
      <c r="Y35" s="83" t="s">
        <v>172</v>
      </c>
      <c r="AB35" s="91"/>
    </row>
    <row r="61" spans="6:24" ht="14.4" thickBot="1" x14ac:dyDescent="0.3">
      <c r="P61" s="95" t="s">
        <v>176</v>
      </c>
      <c r="Q61" s="95"/>
      <c r="R61" s="147">
        <v>0.02</v>
      </c>
      <c r="S61" s="95"/>
      <c r="T61" s="95"/>
      <c r="W61" t="s">
        <v>175</v>
      </c>
      <c r="X61" s="42">
        <v>0.01</v>
      </c>
    </row>
    <row r="62" spans="6:24" ht="18" thickBot="1" x14ac:dyDescent="0.35">
      <c r="F62" s="153"/>
      <c r="K62" s="179"/>
      <c r="L62" s="179"/>
      <c r="M62" s="179"/>
      <c r="N62" s="179"/>
      <c r="P62" s="95" t="s">
        <v>178</v>
      </c>
      <c r="Q62" s="95"/>
      <c r="R62" s="148"/>
      <c r="S62" s="95"/>
      <c r="T62" s="95"/>
      <c r="W62" s="64" t="s">
        <v>177</v>
      </c>
      <c r="X62" s="142"/>
    </row>
    <row r="63" spans="6:24" ht="17.399999999999999" x14ac:dyDescent="0.3">
      <c r="F63" s="153"/>
      <c r="K63" s="179"/>
      <c r="L63" s="248" t="s">
        <v>174</v>
      </c>
      <c r="M63" s="179"/>
      <c r="N63" s="179"/>
      <c r="P63" s="95"/>
      <c r="Q63" s="95"/>
      <c r="R63" s="95"/>
      <c r="S63" s="95"/>
      <c r="T63" s="95"/>
    </row>
    <row r="64" spans="6:24" ht="17.399999999999999" x14ac:dyDescent="0.3">
      <c r="F64" s="153"/>
      <c r="K64" s="249" t="s">
        <v>58</v>
      </c>
      <c r="L64" s="249"/>
      <c r="M64" s="249">
        <v>3500</v>
      </c>
      <c r="N64" s="179"/>
      <c r="P64" s="95"/>
      <c r="Q64" s="95"/>
      <c r="R64" s="95"/>
      <c r="S64" s="95"/>
      <c r="T64" s="95"/>
    </row>
    <row r="65" spans="6:30" ht="17.399999999999999" x14ac:dyDescent="0.3">
      <c r="F65" s="153"/>
      <c r="K65" s="179"/>
      <c r="L65" s="179"/>
      <c r="M65" s="179"/>
      <c r="N65" s="179"/>
      <c r="P65" s="149" t="s">
        <v>182</v>
      </c>
      <c r="Q65" s="149"/>
      <c r="R65" s="95"/>
      <c r="S65" s="95"/>
      <c r="T65" s="95"/>
      <c r="W65" s="14" t="s">
        <v>183</v>
      </c>
      <c r="X65" s="14"/>
    </row>
    <row r="66" spans="6:30" ht="17.399999999999999" x14ac:dyDescent="0.3">
      <c r="F66" s="153"/>
      <c r="K66" s="250" t="s">
        <v>160</v>
      </c>
      <c r="L66" s="179"/>
      <c r="M66" s="179">
        <v>4000</v>
      </c>
      <c r="N66" s="179"/>
      <c r="P66" s="95" t="s">
        <v>181</v>
      </c>
      <c r="Q66" s="95"/>
      <c r="R66" s="95"/>
      <c r="S66" s="95"/>
      <c r="T66" s="95"/>
      <c r="W66" t="s">
        <v>184</v>
      </c>
    </row>
    <row r="67" spans="6:30" ht="18" thickBot="1" x14ac:dyDescent="0.35">
      <c r="F67" s="153"/>
      <c r="K67" s="179"/>
      <c r="L67" s="179"/>
      <c r="M67" s="179"/>
      <c r="N67" s="179"/>
      <c r="P67" s="95" t="s">
        <v>179</v>
      </c>
      <c r="Q67" s="95"/>
      <c r="R67" s="95"/>
      <c r="S67" s="95"/>
      <c r="T67" s="95"/>
      <c r="W67" t="s">
        <v>185</v>
      </c>
      <c r="Y67" s="95"/>
      <c r="Z67" s="95"/>
      <c r="AA67" s="95"/>
      <c r="AB67" s="95"/>
      <c r="AC67" s="95"/>
      <c r="AD67" s="95"/>
    </row>
    <row r="68" spans="6:30" ht="18" thickBot="1" x14ac:dyDescent="0.35">
      <c r="F68" s="153"/>
      <c r="K68" s="179"/>
      <c r="L68" s="179"/>
      <c r="M68" s="179"/>
      <c r="N68" s="179"/>
      <c r="P68" s="95"/>
      <c r="Q68" s="150"/>
      <c r="R68" s="95"/>
      <c r="S68" s="95"/>
      <c r="T68" s="121"/>
      <c r="X68" s="151"/>
      <c r="AD68" s="95"/>
    </row>
    <row r="69" spans="6:30" ht="17.399999999999999" x14ac:dyDescent="0.3">
      <c r="F69" s="236"/>
      <c r="G69" s="154"/>
      <c r="H69" s="154"/>
      <c r="I69" s="154"/>
      <c r="J69" s="154"/>
      <c r="K69" s="179"/>
      <c r="L69" s="179"/>
      <c r="M69" s="179"/>
      <c r="N69" s="179"/>
      <c r="P69" s="95"/>
      <c r="Q69" s="95"/>
      <c r="R69" s="95"/>
      <c r="S69" s="95"/>
      <c r="T69" s="95"/>
      <c r="AD69" s="95"/>
    </row>
    <row r="70" spans="6:30" ht="14.4" thickBot="1" x14ac:dyDescent="0.3">
      <c r="F70" s="154"/>
      <c r="G70" s="154"/>
      <c r="H70" s="154"/>
      <c r="I70" s="154"/>
      <c r="J70" s="154"/>
      <c r="K70" s="155"/>
      <c r="P70" s="95" t="s">
        <v>180</v>
      </c>
      <c r="Q70" s="95"/>
      <c r="R70" s="95"/>
      <c r="S70" s="95"/>
      <c r="T70" s="121"/>
      <c r="AD70" s="95"/>
    </row>
    <row r="71" spans="6:30" ht="14.4" thickBot="1" x14ac:dyDescent="0.3">
      <c r="F71" s="154"/>
      <c r="G71" s="154"/>
      <c r="H71" s="154"/>
      <c r="I71" s="154"/>
      <c r="J71" s="154"/>
      <c r="K71" s="155"/>
      <c r="P71" s="95"/>
      <c r="Q71" s="152"/>
      <c r="R71" s="95"/>
      <c r="S71" s="95"/>
      <c r="T71" s="95"/>
      <c r="AD71" s="95"/>
    </row>
    <row r="72" spans="6:30" x14ac:dyDescent="0.25">
      <c r="F72" s="154"/>
      <c r="G72" s="154"/>
      <c r="H72" s="154"/>
      <c r="I72" s="154"/>
      <c r="J72" s="154"/>
      <c r="K72" s="154"/>
      <c r="T72" s="1"/>
      <c r="X72" s="1"/>
      <c r="AD72" s="95"/>
    </row>
    <row r="73" spans="6:30" x14ac:dyDescent="0.25">
      <c r="F73" s="154"/>
      <c r="G73" s="237"/>
      <c r="H73" s="154"/>
      <c r="I73" s="154"/>
      <c r="J73" s="154"/>
      <c r="K73" s="154"/>
      <c r="T73" s="1"/>
      <c r="AD73" s="95"/>
    </row>
    <row r="74" spans="6:30" x14ac:dyDescent="0.25">
      <c r="F74" s="154"/>
      <c r="G74" s="237"/>
      <c r="H74" s="154"/>
      <c r="I74" s="154"/>
      <c r="J74" s="154"/>
      <c r="K74" s="155"/>
      <c r="AD74" s="95"/>
    </row>
    <row r="75" spans="6:30" x14ac:dyDescent="0.25">
      <c r="F75" s="154"/>
      <c r="G75" s="154"/>
      <c r="H75" s="154"/>
      <c r="I75" s="154"/>
      <c r="J75" s="154"/>
      <c r="K75" s="154"/>
      <c r="AD75" s="95"/>
    </row>
    <row r="76" spans="6:30" ht="14.4" thickBot="1" x14ac:dyDescent="0.3">
      <c r="F76" s="154"/>
      <c r="G76" s="238"/>
      <c r="H76" s="154"/>
      <c r="I76" s="154"/>
      <c r="J76" s="154"/>
      <c r="K76" s="154"/>
      <c r="AD76" s="95"/>
    </row>
    <row r="77" spans="6:30" ht="14.4" thickBot="1" x14ac:dyDescent="0.3">
      <c r="F77" s="154"/>
      <c r="G77" s="238"/>
      <c r="H77" s="154"/>
      <c r="I77" s="154"/>
      <c r="J77" s="154"/>
      <c r="K77" s="154"/>
      <c r="T77" s="96" t="s">
        <v>186</v>
      </c>
      <c r="U77" s="97"/>
      <c r="V77" s="97"/>
      <c r="W77" s="98">
        <f>X68+Q71+3500</f>
        <v>3500</v>
      </c>
      <c r="AD77" s="95"/>
    </row>
    <row r="78" spans="6:30" x14ac:dyDescent="0.25">
      <c r="F78" s="154"/>
      <c r="G78" s="154"/>
      <c r="H78" s="154"/>
      <c r="I78" s="154"/>
      <c r="J78" s="154"/>
      <c r="K78" s="154"/>
      <c r="T78" t="s">
        <v>293</v>
      </c>
      <c r="AD78" s="95"/>
    </row>
    <row r="79" spans="6:30" x14ac:dyDescent="0.25">
      <c r="F79" s="154"/>
      <c r="G79" s="154"/>
      <c r="H79" s="154"/>
      <c r="I79" s="239"/>
      <c r="J79" s="154"/>
      <c r="K79" s="154"/>
      <c r="X79" s="95"/>
      <c r="Y79" s="95"/>
      <c r="Z79" s="95"/>
      <c r="AA79" s="95"/>
      <c r="AB79" s="95"/>
      <c r="AC79" s="95"/>
      <c r="AD79" s="95"/>
    </row>
    <row r="81" spans="23:23" x14ac:dyDescent="0.25">
      <c r="W81" s="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9D78-D3E7-4C93-9BB6-E202DCE6CCAA}">
  <dimension ref="B9:Y375"/>
  <sheetViews>
    <sheetView rightToLeft="1" zoomScale="85" zoomScaleNormal="85" workbookViewId="0">
      <selection activeCell="K138" sqref="K138"/>
    </sheetView>
  </sheetViews>
  <sheetFormatPr defaultRowHeight="13.8" x14ac:dyDescent="0.25"/>
  <cols>
    <col min="8" max="8" width="34.8984375" bestFit="1" customWidth="1"/>
    <col min="9" max="9" width="12.09765625" bestFit="1" customWidth="1"/>
    <col min="11" max="11" width="33" bestFit="1" customWidth="1"/>
    <col min="12" max="12" width="34.69921875" bestFit="1" customWidth="1"/>
    <col min="13" max="13" width="14" bestFit="1" customWidth="1"/>
    <col min="14" max="14" width="34.8984375" bestFit="1" customWidth="1"/>
    <col min="15" max="15" width="26.69921875" bestFit="1" customWidth="1"/>
    <col min="16" max="16" width="18.59765625" bestFit="1" customWidth="1"/>
    <col min="17" max="17" width="48.69921875" bestFit="1" customWidth="1"/>
    <col min="18" max="18" width="34.8984375" bestFit="1" customWidth="1"/>
    <col min="19" max="19" width="28.3984375" bestFit="1" customWidth="1"/>
    <col min="20" max="20" width="18.796875" bestFit="1" customWidth="1"/>
  </cols>
  <sheetData>
    <row r="9" spans="12:19" x14ac:dyDescent="0.25">
      <c r="L9" t="s">
        <v>24</v>
      </c>
      <c r="O9" t="s">
        <v>27</v>
      </c>
      <c r="R9" t="s">
        <v>28</v>
      </c>
    </row>
    <row r="10" spans="12:19" x14ac:dyDescent="0.25">
      <c r="L10" t="s">
        <v>10</v>
      </c>
      <c r="M10" s="4">
        <v>4.0000000000000001E-3</v>
      </c>
      <c r="R10" t="s">
        <v>23</v>
      </c>
      <c r="S10" s="42">
        <f>EFFECT(4%,1)</f>
        <v>4.0000000000000036E-2</v>
      </c>
    </row>
    <row r="11" spans="12:19" x14ac:dyDescent="0.25">
      <c r="L11" t="s">
        <v>23</v>
      </c>
      <c r="M11">
        <f>(1+M10)^12-1</f>
        <v>4.9070207534805954E-2</v>
      </c>
    </row>
    <row r="12" spans="12:19" x14ac:dyDescent="0.25">
      <c r="L12" t="s">
        <v>218</v>
      </c>
      <c r="M12" s="4">
        <v>2E-3</v>
      </c>
      <c r="R12" t="s">
        <v>227</v>
      </c>
      <c r="S12" s="4">
        <v>8.9999999999999993E-3</v>
      </c>
    </row>
    <row r="13" spans="12:19" x14ac:dyDescent="0.25">
      <c r="L13" t="s">
        <v>219</v>
      </c>
      <c r="M13">
        <f>M12*20000</f>
        <v>40</v>
      </c>
      <c r="O13" t="s">
        <v>224</v>
      </c>
      <c r="P13" s="4">
        <v>4.8000000000000001E-2</v>
      </c>
      <c r="R13" t="s">
        <v>228</v>
      </c>
      <c r="S13">
        <f>S12*20000</f>
        <v>180</v>
      </c>
    </row>
    <row r="14" spans="12:19" x14ac:dyDescent="0.25">
      <c r="L14" t="s">
        <v>220</v>
      </c>
      <c r="M14" s="1">
        <f>FV(M11,1,,-20000)</f>
        <v>20981.404150696118</v>
      </c>
      <c r="O14" t="s">
        <v>225</v>
      </c>
      <c r="P14">
        <f>P13*20000</f>
        <v>960</v>
      </c>
      <c r="R14" t="s">
        <v>221</v>
      </c>
      <c r="S14">
        <f>20000-S13</f>
        <v>19820</v>
      </c>
    </row>
    <row r="15" spans="12:19" x14ac:dyDescent="0.25">
      <c r="L15" t="s">
        <v>222</v>
      </c>
      <c r="M15" s="1">
        <f>M14+M13</f>
        <v>21021.404150696118</v>
      </c>
      <c r="O15" t="s">
        <v>221</v>
      </c>
      <c r="P15">
        <f>20000-P14</f>
        <v>19040</v>
      </c>
      <c r="R15" t="s">
        <v>226</v>
      </c>
      <c r="S15">
        <f>20000+S10*20000</f>
        <v>20800</v>
      </c>
    </row>
    <row r="16" spans="12:19" x14ac:dyDescent="0.25">
      <c r="L16" t="s">
        <v>221</v>
      </c>
      <c r="M16">
        <v>20000</v>
      </c>
      <c r="O16" t="s">
        <v>226</v>
      </c>
      <c r="P16">
        <v>20000</v>
      </c>
    </row>
    <row r="17" spans="12:19" x14ac:dyDescent="0.25">
      <c r="L17" t="s">
        <v>223</v>
      </c>
      <c r="M17" s="52">
        <f>M15/M16-1</f>
        <v>5.1070207534805956E-2</v>
      </c>
      <c r="O17" t="s">
        <v>26</v>
      </c>
      <c r="P17" s="52">
        <f>P16/P15-1</f>
        <v>5.0420168067226934E-2</v>
      </c>
      <c r="R17" t="s">
        <v>26</v>
      </c>
      <c r="S17" s="52">
        <f>S15/S14-1</f>
        <v>4.9445005045408719E-2</v>
      </c>
    </row>
    <row r="23" spans="12:19" ht="15.6" x14ac:dyDescent="0.3">
      <c r="L23" s="235"/>
      <c r="M23" s="235"/>
      <c r="N23" s="235"/>
    </row>
    <row r="24" spans="12:19" ht="15" x14ac:dyDescent="0.25">
      <c r="L24" s="222"/>
      <c r="M24" s="223"/>
      <c r="N24" s="105"/>
    </row>
    <row r="25" spans="12:19" ht="15" x14ac:dyDescent="0.25">
      <c r="L25" s="105"/>
      <c r="M25" s="105"/>
      <c r="N25" s="106"/>
    </row>
    <row r="26" spans="12:19" ht="15" x14ac:dyDescent="0.25">
      <c r="L26" s="223"/>
      <c r="M26" s="105"/>
      <c r="N26" s="224"/>
    </row>
    <row r="27" spans="12:19" ht="15" x14ac:dyDescent="0.25">
      <c r="L27" s="107"/>
      <c r="M27" s="225"/>
      <c r="N27" s="106"/>
    </row>
    <row r="28" spans="12:19" ht="15.6" x14ac:dyDescent="0.3">
      <c r="L28" s="226"/>
      <c r="M28" s="227"/>
      <c r="N28" s="226"/>
    </row>
    <row r="29" spans="12:19" ht="15.6" x14ac:dyDescent="0.3">
      <c r="L29" s="226"/>
      <c r="M29" s="228"/>
      <c r="N29" s="226"/>
    </row>
    <row r="30" spans="12:19" ht="15.6" x14ac:dyDescent="0.3">
      <c r="L30" s="226"/>
      <c r="M30" s="229"/>
      <c r="N30" s="230"/>
    </row>
    <row r="31" spans="12:19" ht="15.6" x14ac:dyDescent="0.3">
      <c r="L31" s="226"/>
      <c r="M31" s="226"/>
      <c r="N31" s="226"/>
    </row>
    <row r="32" spans="12:19" ht="15.6" x14ac:dyDescent="0.3">
      <c r="L32" s="231"/>
      <c r="M32" s="226"/>
      <c r="N32" s="226"/>
    </row>
    <row r="33" spans="2:14" ht="15.6" x14ac:dyDescent="0.3">
      <c r="L33" s="226"/>
      <c r="M33" s="229"/>
      <c r="N33" s="230"/>
    </row>
    <row r="34" spans="2:14" ht="15.6" x14ac:dyDescent="0.3">
      <c r="L34" s="107"/>
      <c r="M34" s="228"/>
      <c r="N34" s="230"/>
    </row>
    <row r="35" spans="2:14" ht="15.6" x14ac:dyDescent="0.3">
      <c r="L35" s="226"/>
      <c r="M35" s="228"/>
      <c r="N35" s="230"/>
    </row>
    <row r="36" spans="2:14" ht="15.6" x14ac:dyDescent="0.3">
      <c r="L36" s="226"/>
      <c r="M36" s="228"/>
      <c r="N36" s="230"/>
    </row>
    <row r="37" spans="2:14" ht="15.6" x14ac:dyDescent="0.3">
      <c r="L37" s="226"/>
      <c r="M37" s="229"/>
      <c r="N37" s="230"/>
    </row>
    <row r="38" spans="2:14" ht="15.6" x14ac:dyDescent="0.3">
      <c r="L38" s="226"/>
      <c r="M38" s="226"/>
      <c r="N38" s="230"/>
    </row>
    <row r="39" spans="2:14" ht="15.6" x14ac:dyDescent="0.3">
      <c r="L39" s="231"/>
      <c r="M39" s="226"/>
      <c r="N39" s="230"/>
    </row>
    <row r="40" spans="2:14" ht="15.6" x14ac:dyDescent="0.3">
      <c r="B40" t="s">
        <v>120</v>
      </c>
      <c r="L40" s="226"/>
      <c r="M40" s="232"/>
      <c r="N40" s="230"/>
    </row>
    <row r="41" spans="2:14" ht="15.6" x14ac:dyDescent="0.3">
      <c r="B41" t="s">
        <v>6</v>
      </c>
      <c r="L41" s="226"/>
      <c r="M41" s="229"/>
      <c r="N41" s="230"/>
    </row>
    <row r="42" spans="2:14" ht="15.6" x14ac:dyDescent="0.3">
      <c r="L42" s="107"/>
      <c r="M42" s="228"/>
      <c r="N42" s="230"/>
    </row>
    <row r="43" spans="2:14" ht="15.6" x14ac:dyDescent="0.3">
      <c r="L43" s="226"/>
      <c r="M43" s="233"/>
      <c r="N43" s="230"/>
    </row>
    <row r="44" spans="2:14" ht="15.6" x14ac:dyDescent="0.3">
      <c r="L44" s="226"/>
      <c r="M44" s="228"/>
      <c r="N44" s="230"/>
    </row>
    <row r="45" spans="2:14" ht="15.6" x14ac:dyDescent="0.3">
      <c r="L45" s="226"/>
      <c r="M45" s="234"/>
      <c r="N45" s="230"/>
    </row>
    <row r="48" spans="2:14" ht="15" x14ac:dyDescent="0.25">
      <c r="K48" s="21" t="s">
        <v>121</v>
      </c>
      <c r="L48" s="53">
        <v>40000</v>
      </c>
    </row>
    <row r="49" spans="11:12" ht="15" x14ac:dyDescent="0.25">
      <c r="K49" s="21" t="s">
        <v>122</v>
      </c>
      <c r="L49" s="53">
        <v>48</v>
      </c>
    </row>
    <row r="50" spans="11:12" ht="15" x14ac:dyDescent="0.25">
      <c r="K50" s="21" t="s">
        <v>26</v>
      </c>
      <c r="L50" s="54">
        <v>7.3959999999999998E-2</v>
      </c>
    </row>
    <row r="51" spans="11:12" ht="15" x14ac:dyDescent="0.25">
      <c r="K51" s="55" t="s">
        <v>39</v>
      </c>
      <c r="L51" s="56">
        <f>(1+L50)^(1/12)-1</f>
        <v>5.9637755407548898E-3</v>
      </c>
    </row>
    <row r="52" spans="11:12" ht="15.6" x14ac:dyDescent="0.3">
      <c r="K52" s="57" t="s">
        <v>123</v>
      </c>
      <c r="L52" s="58">
        <f>PV(L51,L49,-L48,,1)</f>
        <v>1675284.6374832045</v>
      </c>
    </row>
    <row r="69" spans="3:14" x14ac:dyDescent="0.25">
      <c r="C69" s="51" t="s">
        <v>133</v>
      </c>
      <c r="D69" s="51"/>
      <c r="E69" s="51"/>
    </row>
    <row r="73" spans="3:14" x14ac:dyDescent="0.25">
      <c r="M73">
        <v>150000</v>
      </c>
      <c r="N73" t="s">
        <v>0</v>
      </c>
    </row>
    <row r="74" spans="3:14" x14ac:dyDescent="0.25">
      <c r="M74">
        <v>12</v>
      </c>
      <c r="N74" t="s">
        <v>1</v>
      </c>
    </row>
    <row r="75" spans="3:14" x14ac:dyDescent="0.25">
      <c r="M75">
        <v>1</v>
      </c>
      <c r="N75" t="s">
        <v>2</v>
      </c>
    </row>
    <row r="76" spans="3:14" x14ac:dyDescent="0.25">
      <c r="L76" t="s">
        <v>3</v>
      </c>
      <c r="M76">
        <f>(1+6.136%)^0.25-1</f>
        <v>1.4999151118178622E-2</v>
      </c>
      <c r="N76" t="s">
        <v>4</v>
      </c>
    </row>
    <row r="77" spans="3:14" x14ac:dyDescent="0.25">
      <c r="M77" s="251">
        <f>PV(M76,M74,-M73,,1)</f>
        <v>1660675.0603276917</v>
      </c>
      <c r="N77" t="s">
        <v>5</v>
      </c>
    </row>
    <row r="78" spans="3:14" x14ac:dyDescent="0.25">
      <c r="M78" t="s">
        <v>332</v>
      </c>
    </row>
    <row r="100" spans="2:20" x14ac:dyDescent="0.25">
      <c r="B100" t="s">
        <v>30</v>
      </c>
    </row>
    <row r="105" spans="2:20" x14ac:dyDescent="0.25">
      <c r="B105" s="51" t="s">
        <v>132</v>
      </c>
    </row>
    <row r="112" spans="2:20" x14ac:dyDescent="0.25">
      <c r="T112" s="3"/>
    </row>
    <row r="113" spans="12:21" x14ac:dyDescent="0.25">
      <c r="L113" t="s">
        <v>124</v>
      </c>
      <c r="M113">
        <v>100000</v>
      </c>
      <c r="N113" t="s">
        <v>5</v>
      </c>
      <c r="S113" s="2"/>
      <c r="U113" s="2"/>
    </row>
    <row r="114" spans="12:21" x14ac:dyDescent="0.25">
      <c r="M114">
        <v>24</v>
      </c>
      <c r="N114" t="s">
        <v>125</v>
      </c>
      <c r="S114" s="2"/>
      <c r="U114" s="6"/>
    </row>
    <row r="115" spans="12:21" x14ac:dyDescent="0.25">
      <c r="M115" s="1">
        <v>4432.0600000000004</v>
      </c>
      <c r="N115" t="s">
        <v>126</v>
      </c>
      <c r="S115" s="7"/>
      <c r="U115" s="6"/>
    </row>
    <row r="116" spans="12:21" ht="15.6" x14ac:dyDescent="0.3">
      <c r="L116" t="s">
        <v>10</v>
      </c>
      <c r="M116" s="252">
        <f>RATE(M114,4432.06,-M113)</f>
        <v>4.9999810385041232E-3</v>
      </c>
      <c r="N116" t="s">
        <v>127</v>
      </c>
      <c r="S116" s="8"/>
    </row>
    <row r="117" spans="12:21" x14ac:dyDescent="0.25">
      <c r="L117" s="5"/>
    </row>
    <row r="118" spans="12:21" x14ac:dyDescent="0.25">
      <c r="L118" s="5"/>
    </row>
    <row r="119" spans="12:21" x14ac:dyDescent="0.25">
      <c r="L119" s="5" t="s">
        <v>128</v>
      </c>
      <c r="M119">
        <v>100000</v>
      </c>
      <c r="N119" t="s">
        <v>5</v>
      </c>
    </row>
    <row r="120" spans="12:21" x14ac:dyDescent="0.25">
      <c r="L120" s="5"/>
      <c r="M120">
        <v>6</v>
      </c>
      <c r="N120" t="s">
        <v>125</v>
      </c>
    </row>
    <row r="121" spans="12:21" ht="15" x14ac:dyDescent="0.25">
      <c r="L121" s="59"/>
      <c r="M121" s="1">
        <v>16959.54</v>
      </c>
      <c r="N121" t="s">
        <v>126</v>
      </c>
    </row>
    <row r="122" spans="12:21" ht="15.6" x14ac:dyDescent="0.3">
      <c r="L122" s="5" t="s">
        <v>10</v>
      </c>
      <c r="M122" s="252">
        <f>RATE(M120,M121,-M119)</f>
        <v>4.9999053957767315E-3</v>
      </c>
      <c r="N122" t="s">
        <v>127</v>
      </c>
    </row>
    <row r="125" spans="12:21" x14ac:dyDescent="0.25">
      <c r="L125" s="5" t="s">
        <v>129</v>
      </c>
      <c r="M125">
        <v>100000</v>
      </c>
      <c r="N125" t="s">
        <v>5</v>
      </c>
    </row>
    <row r="126" spans="12:21" x14ac:dyDescent="0.25">
      <c r="L126" s="5"/>
      <c r="M126" s="60">
        <v>106167.78</v>
      </c>
      <c r="N126" t="s">
        <v>130</v>
      </c>
    </row>
    <row r="127" spans="12:21" x14ac:dyDescent="0.25">
      <c r="L127" s="5" t="s">
        <v>26</v>
      </c>
      <c r="M127" s="4">
        <f>RATE(1,,-M125,M126)</f>
        <v>6.167780000000006E-2</v>
      </c>
      <c r="N127" t="s">
        <v>127</v>
      </c>
    </row>
    <row r="128" spans="12:21" ht="15.6" x14ac:dyDescent="0.3">
      <c r="L128" t="s">
        <v>39</v>
      </c>
      <c r="M128" s="252">
        <f>(1+M127)^(1/12)-1</f>
        <v>4.9999990640741121E-3</v>
      </c>
    </row>
    <row r="131" spans="12:13" ht="15.6" x14ac:dyDescent="0.3">
      <c r="L131" s="253" t="s">
        <v>131</v>
      </c>
      <c r="M131" s="254"/>
    </row>
    <row r="191" spans="15:19" x14ac:dyDescent="0.25">
      <c r="O191" s="3"/>
      <c r="S191" s="3"/>
    </row>
    <row r="196" spans="16:20" x14ac:dyDescent="0.25">
      <c r="P196" s="4"/>
    </row>
    <row r="197" spans="16:20" x14ac:dyDescent="0.25">
      <c r="T197" s="4"/>
    </row>
    <row r="248" spans="2:25" x14ac:dyDescent="0.25">
      <c r="B248" t="s">
        <v>40</v>
      </c>
    </row>
    <row r="252" spans="2:25" ht="15.6" x14ac:dyDescent="0.3">
      <c r="P252" s="258" t="s">
        <v>31</v>
      </c>
      <c r="Q252" s="258"/>
      <c r="R252" s="258"/>
      <c r="S252" s="258"/>
      <c r="T252" s="258"/>
      <c r="U252" s="258"/>
      <c r="V252" s="258"/>
      <c r="W252" s="258"/>
      <c r="X252" s="258"/>
      <c r="Y252" s="258"/>
    </row>
    <row r="253" spans="2:25" ht="15.6" x14ac:dyDescent="0.3">
      <c r="P253" s="22">
        <v>1</v>
      </c>
      <c r="Q253" s="24">
        <v>2.9000000000000001E-2</v>
      </c>
      <c r="R253" s="25"/>
      <c r="S253" s="22" t="s">
        <v>32</v>
      </c>
      <c r="T253" s="22"/>
      <c r="U253" s="22"/>
      <c r="V253" s="22"/>
      <c r="W253" s="22"/>
      <c r="X253" s="22"/>
      <c r="Y253" s="22"/>
    </row>
    <row r="254" spans="2:25" ht="15.6" x14ac:dyDescent="0.3">
      <c r="P254" s="22"/>
      <c r="Q254" s="26">
        <f>(1+Q253)^4-1</f>
        <v>0.12114426328099981</v>
      </c>
      <c r="R254" s="25"/>
      <c r="S254" s="22" t="s">
        <v>26</v>
      </c>
      <c r="T254" s="22"/>
      <c r="U254" s="22"/>
      <c r="V254" s="22"/>
      <c r="W254" s="22"/>
      <c r="X254" s="22"/>
      <c r="Y254" s="22"/>
    </row>
    <row r="255" spans="2:25" ht="15.6" x14ac:dyDescent="0.3">
      <c r="P255" s="22"/>
      <c r="Q255" s="24"/>
      <c r="R255" s="22"/>
      <c r="S255" s="22"/>
      <c r="T255" s="22"/>
      <c r="U255" s="22"/>
      <c r="V255" s="22"/>
      <c r="W255" s="22"/>
      <c r="X255" s="22"/>
      <c r="Y255" s="22"/>
    </row>
    <row r="256" spans="2:25" ht="15.6" x14ac:dyDescent="0.3">
      <c r="P256" s="22">
        <v>2</v>
      </c>
      <c r="Q256" s="24">
        <v>6.13E-2</v>
      </c>
      <c r="R256" s="25"/>
      <c r="S256" s="22" t="s">
        <v>33</v>
      </c>
      <c r="T256" s="22"/>
      <c r="U256" s="22"/>
      <c r="V256" s="22"/>
      <c r="W256" s="22"/>
      <c r="X256" s="22"/>
      <c r="Y256" s="22"/>
    </row>
    <row r="257" spans="16:25" ht="15.6" x14ac:dyDescent="0.3">
      <c r="P257" s="24"/>
      <c r="Q257" s="24">
        <f>(1+Q256)^2-1</f>
        <v>0.12635768999999986</v>
      </c>
      <c r="R257" s="27"/>
      <c r="S257" s="22" t="s">
        <v>26</v>
      </c>
      <c r="T257" s="22"/>
      <c r="U257" s="22"/>
      <c r="V257" s="22"/>
      <c r="W257" s="22"/>
      <c r="X257" s="22"/>
      <c r="Y257" s="22"/>
    </row>
    <row r="258" spans="16:25" ht="15.6" x14ac:dyDescent="0.3">
      <c r="P258" s="22"/>
      <c r="Q258" s="24"/>
      <c r="R258" s="22"/>
      <c r="S258" s="22"/>
      <c r="T258" s="22"/>
      <c r="U258" s="22"/>
      <c r="V258" s="22"/>
      <c r="W258" s="22"/>
      <c r="X258" s="22"/>
      <c r="Y258" s="22"/>
    </row>
    <row r="259" spans="16:25" ht="15.6" x14ac:dyDescent="0.3">
      <c r="P259" s="22">
        <v>3</v>
      </c>
      <c r="Q259" s="24">
        <v>0.11700000000000001</v>
      </c>
      <c r="R259" s="25"/>
      <c r="S259" s="22" t="s">
        <v>34</v>
      </c>
      <c r="T259" s="22"/>
      <c r="U259" s="22"/>
      <c r="V259" s="22"/>
      <c r="W259" s="22"/>
      <c r="X259" s="22"/>
      <c r="Y259" s="22"/>
    </row>
    <row r="260" spans="16:25" ht="15.6" x14ac:dyDescent="0.3">
      <c r="P260" s="22"/>
      <c r="Q260" s="24">
        <f>Q259/12</f>
        <v>9.75E-3</v>
      </c>
      <c r="R260" s="25"/>
      <c r="S260" s="22" t="s">
        <v>10</v>
      </c>
      <c r="T260" s="22"/>
      <c r="U260" s="22"/>
      <c r="V260" s="22"/>
      <c r="W260" s="22"/>
      <c r="X260" s="22"/>
      <c r="Y260" s="22"/>
    </row>
    <row r="261" spans="16:25" ht="15.6" x14ac:dyDescent="0.3">
      <c r="P261" s="22"/>
      <c r="Q261" s="24">
        <f>(1+Q260)^12-1</f>
        <v>0.12348257790079042</v>
      </c>
      <c r="R261" s="25"/>
      <c r="S261" s="22" t="s">
        <v>26</v>
      </c>
      <c r="T261" s="22"/>
      <c r="U261" s="22"/>
      <c r="V261" s="22"/>
      <c r="W261" s="22"/>
      <c r="X261" s="22"/>
      <c r="Y261" s="22"/>
    </row>
    <row r="262" spans="16:25" ht="15.6" x14ac:dyDescent="0.3">
      <c r="P262" s="22"/>
      <c r="Q262" s="24"/>
      <c r="R262" s="25"/>
      <c r="S262" s="22"/>
      <c r="T262" s="22"/>
      <c r="U262" s="22"/>
      <c r="V262" s="22"/>
      <c r="W262" s="22"/>
      <c r="X262" s="22"/>
      <c r="Y262" s="22"/>
    </row>
    <row r="263" spans="16:25" ht="15.6" x14ac:dyDescent="0.3">
      <c r="P263" s="22">
        <v>4</v>
      </c>
      <c r="Q263" s="24">
        <v>8.9999999999999993E-3</v>
      </c>
      <c r="R263" s="25"/>
      <c r="S263" s="22" t="s">
        <v>10</v>
      </c>
      <c r="T263" s="22"/>
      <c r="U263" s="22"/>
      <c r="V263" s="22"/>
      <c r="W263" s="22"/>
      <c r="X263" s="22"/>
      <c r="Y263" s="22"/>
    </row>
    <row r="264" spans="16:25" ht="15.6" x14ac:dyDescent="0.3">
      <c r="P264" s="22"/>
      <c r="Q264" s="24">
        <v>0.01</v>
      </c>
      <c r="R264" s="25"/>
      <c r="S264" s="22" t="s">
        <v>29</v>
      </c>
      <c r="T264" s="22"/>
      <c r="U264" s="22"/>
      <c r="V264" s="22"/>
      <c r="W264" s="22"/>
      <c r="X264" s="22"/>
      <c r="Y264" s="22"/>
    </row>
    <row r="265" spans="16:25" ht="15.6" x14ac:dyDescent="0.3">
      <c r="P265" s="22"/>
      <c r="Q265" s="22">
        <v>100</v>
      </c>
      <c r="R265" s="25"/>
      <c r="S265" s="22" t="s">
        <v>35</v>
      </c>
      <c r="T265" s="22"/>
      <c r="U265" s="22"/>
      <c r="V265" s="22"/>
      <c r="W265" s="22"/>
      <c r="X265" s="22"/>
      <c r="Y265" s="22"/>
    </row>
    <row r="266" spans="16:25" ht="15.6" x14ac:dyDescent="0.3">
      <c r="P266" s="22"/>
      <c r="Q266" s="22">
        <f>99%*Q265</f>
        <v>99</v>
      </c>
      <c r="R266" s="25"/>
      <c r="S266" s="22" t="s">
        <v>36</v>
      </c>
      <c r="T266" s="22"/>
      <c r="U266" s="22"/>
      <c r="V266" s="22"/>
      <c r="W266" s="22"/>
      <c r="X266" s="22"/>
      <c r="Y266" s="22"/>
    </row>
    <row r="267" spans="16:25" ht="15.6" x14ac:dyDescent="0.3">
      <c r="P267" s="22"/>
      <c r="Q267" s="28">
        <f>Q265*(1+Q263)^12</f>
        <v>111.35096749566679</v>
      </c>
      <c r="R267" s="25"/>
      <c r="S267" s="22" t="s">
        <v>37</v>
      </c>
      <c r="T267" s="22"/>
      <c r="U267" s="22"/>
      <c r="V267" s="22"/>
      <c r="W267" s="22"/>
      <c r="X267" s="22"/>
      <c r="Y267" s="22"/>
    </row>
    <row r="268" spans="16:25" ht="15.6" x14ac:dyDescent="0.3">
      <c r="P268" s="22"/>
      <c r="Q268" s="24">
        <f>Q267/Q266-1</f>
        <v>0.12475724743097771</v>
      </c>
      <c r="R268" s="25"/>
      <c r="S268" s="22" t="s">
        <v>26</v>
      </c>
      <c r="T268" s="22"/>
      <c r="U268" s="22"/>
      <c r="V268" s="22"/>
      <c r="W268" s="22"/>
      <c r="X268" s="22"/>
      <c r="Y268" s="22"/>
    </row>
    <row r="269" spans="16:25" ht="15.6" x14ac:dyDescent="0.3">
      <c r="P269" s="29"/>
      <c r="Q269" s="30"/>
      <c r="R269" s="31"/>
      <c r="S269" s="32"/>
      <c r="T269" s="22"/>
      <c r="U269" s="22"/>
      <c r="V269" s="22"/>
      <c r="W269" s="22"/>
      <c r="X269" s="22"/>
      <c r="Y269" s="22"/>
    </row>
    <row r="270" spans="16:25" ht="15.6" x14ac:dyDescent="0.3">
      <c r="P270" s="29">
        <v>5</v>
      </c>
      <c r="Q270" s="30">
        <v>0.11600000000000001</v>
      </c>
      <c r="R270" s="31"/>
      <c r="S270" s="32" t="s">
        <v>34</v>
      </c>
      <c r="T270" s="22"/>
      <c r="U270" s="22"/>
      <c r="V270" s="22"/>
      <c r="W270" s="22"/>
      <c r="X270" s="22"/>
      <c r="Y270" s="22"/>
    </row>
    <row r="271" spans="16:25" ht="15.6" x14ac:dyDescent="0.3">
      <c r="P271" s="22"/>
      <c r="Q271" s="24">
        <f>Q270/365</f>
        <v>3.178082191780822E-4</v>
      </c>
      <c r="R271" s="25"/>
      <c r="S271" s="22" t="s">
        <v>38</v>
      </c>
      <c r="T271" s="22"/>
      <c r="U271" s="22"/>
      <c r="V271" s="22"/>
      <c r="W271" s="22"/>
      <c r="X271" s="22"/>
      <c r="Y271" s="22"/>
    </row>
    <row r="272" spans="16:25" ht="15.6" x14ac:dyDescent="0.3">
      <c r="P272" s="22"/>
      <c r="Q272" s="24">
        <f>(1+Q271)^365-1</f>
        <v>0.12297517666426439</v>
      </c>
      <c r="R272" s="25"/>
      <c r="S272" s="22" t="s">
        <v>39</v>
      </c>
      <c r="T272" s="22"/>
      <c r="U272" s="22"/>
      <c r="V272" s="22"/>
      <c r="W272" s="22"/>
      <c r="X272" s="22"/>
      <c r="Y272" s="22"/>
    </row>
    <row r="279" spans="4:20" x14ac:dyDescent="0.25">
      <c r="D279" t="s">
        <v>48</v>
      </c>
    </row>
    <row r="284" spans="4:20" ht="17.399999999999999" thickBot="1" x14ac:dyDescent="0.35">
      <c r="Q284" s="33" t="s">
        <v>41</v>
      </c>
      <c r="R284" s="21"/>
      <c r="S284" s="21"/>
      <c r="T284" s="21"/>
    </row>
    <row r="285" spans="4:20" ht="16.2" thickTop="1" x14ac:dyDescent="0.3">
      <c r="Q285" s="22" t="s">
        <v>34</v>
      </c>
      <c r="R285" s="24">
        <v>2.4E-2</v>
      </c>
      <c r="S285" s="22"/>
      <c r="T285" s="22"/>
    </row>
    <row r="286" spans="4:20" ht="15.6" x14ac:dyDescent="0.3">
      <c r="Q286" s="22" t="s">
        <v>10</v>
      </c>
      <c r="R286" s="24">
        <f>R285/12</f>
        <v>2E-3</v>
      </c>
      <c r="S286" s="22"/>
      <c r="T286" s="22" t="s">
        <v>26</v>
      </c>
    </row>
    <row r="287" spans="4:20" ht="15.6" x14ac:dyDescent="0.3">
      <c r="Q287" s="22" t="s">
        <v>42</v>
      </c>
      <c r="R287" s="22">
        <v>12</v>
      </c>
      <c r="S287" s="22"/>
      <c r="T287" s="22"/>
    </row>
    <row r="288" spans="4:20" ht="15.6" x14ac:dyDescent="0.3">
      <c r="Q288" s="22" t="s">
        <v>43</v>
      </c>
      <c r="R288" s="24">
        <v>0.02</v>
      </c>
      <c r="S288" s="22"/>
      <c r="T288" s="22"/>
    </row>
    <row r="289" spans="17:20" ht="15.6" x14ac:dyDescent="0.3">
      <c r="Q289" s="22" t="s">
        <v>44</v>
      </c>
      <c r="R289" s="23">
        <v>10000</v>
      </c>
      <c r="S289" s="22"/>
      <c r="T289" s="22"/>
    </row>
    <row r="290" spans="17:20" ht="15.6" x14ac:dyDescent="0.3">
      <c r="Q290" s="22"/>
      <c r="R290" s="22"/>
      <c r="S290" s="22"/>
      <c r="T290" s="22"/>
    </row>
    <row r="291" spans="17:20" ht="15.6" x14ac:dyDescent="0.3">
      <c r="Q291" s="22"/>
      <c r="R291" s="22"/>
      <c r="S291" s="22"/>
      <c r="T291" s="22"/>
    </row>
    <row r="292" spans="17:20" ht="15.6" x14ac:dyDescent="0.3">
      <c r="Q292" s="22"/>
      <c r="R292" s="22"/>
      <c r="S292" s="22"/>
      <c r="T292" s="22"/>
    </row>
    <row r="293" spans="17:20" ht="15.6" x14ac:dyDescent="0.3">
      <c r="Q293" s="22" t="s">
        <v>45</v>
      </c>
      <c r="R293" s="23">
        <v>1500000</v>
      </c>
      <c r="S293" s="22"/>
      <c r="T293" s="34">
        <f>FV(R286,12,,-R293)</f>
        <v>1536398.6519181046</v>
      </c>
    </row>
    <row r="294" spans="17:20" ht="15.6" x14ac:dyDescent="0.3">
      <c r="Q294" s="22" t="s">
        <v>43</v>
      </c>
      <c r="R294" s="22">
        <f>R293*R288</f>
        <v>30000</v>
      </c>
      <c r="S294" s="22"/>
      <c r="T294" s="22"/>
    </row>
    <row r="295" spans="17:20" ht="15.6" x14ac:dyDescent="0.3">
      <c r="Q295" s="35" t="s">
        <v>44</v>
      </c>
      <c r="R295" s="35"/>
      <c r="S295" s="35"/>
      <c r="T295" s="36">
        <f>R289</f>
        <v>10000</v>
      </c>
    </row>
    <row r="296" spans="17:20" ht="15.6" x14ac:dyDescent="0.3">
      <c r="Q296" s="22" t="s">
        <v>46</v>
      </c>
      <c r="R296" s="37">
        <f>R293-R294</f>
        <v>1470000</v>
      </c>
      <c r="S296" s="37"/>
      <c r="T296" s="37">
        <f>T293-T295</f>
        <v>1526398.6519181046</v>
      </c>
    </row>
    <row r="297" spans="17:20" ht="15.6" x14ac:dyDescent="0.3">
      <c r="Q297" s="22"/>
      <c r="R297" s="22"/>
      <c r="S297" s="22"/>
      <c r="T297" s="22"/>
    </row>
    <row r="298" spans="17:20" ht="15.6" x14ac:dyDescent="0.3">
      <c r="Q298" s="38" t="s">
        <v>47</v>
      </c>
      <c r="R298" s="39">
        <f>T296/R296-1</f>
        <v>3.8366429876261599E-2</v>
      </c>
      <c r="S298" s="22"/>
      <c r="T298" s="22"/>
    </row>
    <row r="305" spans="3:23" x14ac:dyDescent="0.25">
      <c r="C305" t="s">
        <v>67</v>
      </c>
    </row>
    <row r="310" spans="3:23" x14ac:dyDescent="0.25">
      <c r="P310" s="259" t="s">
        <v>49</v>
      </c>
      <c r="Q310" s="259"/>
      <c r="R310" s="259"/>
      <c r="S310" s="259"/>
      <c r="T310" s="259"/>
      <c r="U310" s="259"/>
      <c r="V310" s="259"/>
      <c r="W310" s="259"/>
    </row>
    <row r="312" spans="3:23" x14ac:dyDescent="0.25">
      <c r="P312" s="3" t="s">
        <v>8</v>
      </c>
      <c r="Q312" s="40">
        <v>25000</v>
      </c>
      <c r="R312" t="s">
        <v>50</v>
      </c>
    </row>
    <row r="314" spans="3:23" x14ac:dyDescent="0.25">
      <c r="P314" s="3" t="s">
        <v>9</v>
      </c>
    </row>
    <row r="315" spans="3:23" x14ac:dyDescent="0.25">
      <c r="P315" t="s">
        <v>51</v>
      </c>
      <c r="Q315" s="2">
        <v>27000</v>
      </c>
      <c r="S315" t="s">
        <v>52</v>
      </c>
      <c r="U315" s="41">
        <f>PV(Q325,3,,-Q316)</f>
        <v>13102.966997023201</v>
      </c>
    </row>
    <row r="316" spans="3:23" x14ac:dyDescent="0.25">
      <c r="P316" t="s">
        <v>53</v>
      </c>
      <c r="Q316">
        <f>Q315/2</f>
        <v>13500</v>
      </c>
      <c r="S316" t="s">
        <v>54</v>
      </c>
      <c r="U316" s="1">
        <f>PV(Q326,6,,-Q317)</f>
        <v>11987.613659513592</v>
      </c>
    </row>
    <row r="317" spans="3:23" x14ac:dyDescent="0.25">
      <c r="P317" t="s">
        <v>55</v>
      </c>
      <c r="Q317">
        <f>Q315/2</f>
        <v>13500</v>
      </c>
      <c r="S317" t="s">
        <v>56</v>
      </c>
      <c r="U317" s="41">
        <f>PV(Q325,6,,-U316)</f>
        <v>11292.874330013023</v>
      </c>
    </row>
    <row r="319" spans="3:23" x14ac:dyDescent="0.25">
      <c r="S319" s="41">
        <f>U317+U315</f>
        <v>24395.841327036222</v>
      </c>
      <c r="T319" t="s">
        <v>50</v>
      </c>
    </row>
    <row r="321" spans="16:21" x14ac:dyDescent="0.25">
      <c r="P321" s="3" t="s">
        <v>57</v>
      </c>
    </row>
    <row r="322" spans="16:21" x14ac:dyDescent="0.25">
      <c r="P322" t="s">
        <v>58</v>
      </c>
      <c r="Q322">
        <v>3500</v>
      </c>
      <c r="S322" t="s">
        <v>59</v>
      </c>
      <c r="U322" s="1">
        <f>PV(Q329,3,-Q323)</f>
        <v>11091.942357802774</v>
      </c>
    </row>
    <row r="323" spans="16:21" x14ac:dyDescent="0.25">
      <c r="P323" t="s">
        <v>60</v>
      </c>
      <c r="Q323">
        <v>4000</v>
      </c>
      <c r="S323" t="s">
        <v>61</v>
      </c>
      <c r="U323" s="1">
        <f>PV(Q325,6,,-U322)</f>
        <v>10449.111447882415</v>
      </c>
    </row>
    <row r="325" spans="16:21" x14ac:dyDescent="0.25">
      <c r="P325" t="s">
        <v>62</v>
      </c>
      <c r="Q325" s="42">
        <v>0.01</v>
      </c>
    </row>
    <row r="326" spans="16:21" x14ac:dyDescent="0.25">
      <c r="P326" t="s">
        <v>63</v>
      </c>
      <c r="Q326" s="42">
        <v>0.02</v>
      </c>
      <c r="S326" t="s">
        <v>64</v>
      </c>
      <c r="U326" s="1">
        <f>PV(Q328,3,-Q323)</f>
        <v>11533.286516575794</v>
      </c>
    </row>
    <row r="328" spans="16:21" x14ac:dyDescent="0.25">
      <c r="P328" t="s">
        <v>65</v>
      </c>
      <c r="Q328" s="5">
        <f>(1+Q325)^2-1</f>
        <v>2.0100000000000007E-2</v>
      </c>
    </row>
    <row r="329" spans="16:21" x14ac:dyDescent="0.25">
      <c r="P329" t="s">
        <v>66</v>
      </c>
      <c r="Q329" s="5">
        <f>(1+Q326)^2-1</f>
        <v>4.0399999999999991E-2</v>
      </c>
    </row>
    <row r="331" spans="16:21" x14ac:dyDescent="0.25">
      <c r="S331" s="43">
        <f>U326+U323+Q322</f>
        <v>25482.397964458207</v>
      </c>
      <c r="T331" t="s">
        <v>50</v>
      </c>
    </row>
    <row r="339" spans="3:22" x14ac:dyDescent="0.25">
      <c r="C339" t="s">
        <v>68</v>
      </c>
    </row>
    <row r="344" spans="3:22" x14ac:dyDescent="0.25">
      <c r="P344" t="s">
        <v>69</v>
      </c>
      <c r="Q344" s="2">
        <v>19800</v>
      </c>
      <c r="S344" t="s">
        <v>70</v>
      </c>
      <c r="T344" s="1">
        <f>PV(Q348,Q346,-Q345,,0)</f>
        <v>21420.57789547983</v>
      </c>
    </row>
    <row r="345" spans="3:22" x14ac:dyDescent="0.25">
      <c r="P345" t="s">
        <v>71</v>
      </c>
      <c r="Q345" s="2">
        <v>4600</v>
      </c>
      <c r="S345" t="s">
        <v>72</v>
      </c>
      <c r="T345" s="1">
        <f>PV(0.8%,1,,-T344)</f>
        <v>21250.573309007767</v>
      </c>
      <c r="V345" s="1"/>
    </row>
    <row r="346" spans="3:22" x14ac:dyDescent="0.25">
      <c r="P346" t="s">
        <v>73</v>
      </c>
      <c r="Q346">
        <v>5</v>
      </c>
    </row>
    <row r="347" spans="3:22" x14ac:dyDescent="0.25">
      <c r="P347" t="s">
        <v>10</v>
      </c>
      <c r="Q347" s="4">
        <v>8.0000000000000002E-3</v>
      </c>
      <c r="S347" t="s">
        <v>74</v>
      </c>
      <c r="T347" s="43">
        <f>T345-Q344</f>
        <v>1450.5733090077665</v>
      </c>
    </row>
    <row r="348" spans="3:22" x14ac:dyDescent="0.25">
      <c r="P348" t="s">
        <v>32</v>
      </c>
      <c r="Q348" s="4">
        <f>(1+Q347)^3-1</f>
        <v>2.4192512000000166E-2</v>
      </c>
    </row>
    <row r="363" spans="3:3" x14ac:dyDescent="0.25">
      <c r="C363" t="s">
        <v>79</v>
      </c>
    </row>
    <row r="371" spans="17:21" x14ac:dyDescent="0.25">
      <c r="Q371" t="s">
        <v>75</v>
      </c>
      <c r="R371" s="2">
        <v>500000</v>
      </c>
    </row>
    <row r="372" spans="17:21" x14ac:dyDescent="0.25">
      <c r="Q372" t="s">
        <v>76</v>
      </c>
      <c r="T372" t="s">
        <v>77</v>
      </c>
      <c r="U372" s="4">
        <f>RATE(R373,R375,R374,-R371,1)</f>
        <v>3.5989870135390801E-3</v>
      </c>
    </row>
    <row r="373" spans="17:21" x14ac:dyDescent="0.25">
      <c r="Q373" t="s">
        <v>78</v>
      </c>
      <c r="R373">
        <v>240</v>
      </c>
      <c r="T373" t="s">
        <v>23</v>
      </c>
      <c r="U373" s="44">
        <f>(1+U372)^12-1</f>
        <v>4.4053062044471458E-2</v>
      </c>
    </row>
    <row r="374" spans="17:21" x14ac:dyDescent="0.25">
      <c r="Q374" t="s">
        <v>21</v>
      </c>
      <c r="R374" s="2">
        <v>50000</v>
      </c>
    </row>
    <row r="375" spans="17:21" x14ac:dyDescent="0.25">
      <c r="Q375" t="s">
        <v>11</v>
      </c>
      <c r="R375" s="2">
        <v>1000</v>
      </c>
    </row>
  </sheetData>
  <mergeCells count="2">
    <mergeCell ref="P252:Y252"/>
    <mergeCell ref="P310:W3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95"/>
  <sheetViews>
    <sheetView rightToLeft="1" topLeftCell="A130" zoomScale="85" zoomScaleNormal="85" workbookViewId="0">
      <selection activeCell="E146" sqref="E146"/>
    </sheetView>
  </sheetViews>
  <sheetFormatPr defaultRowHeight="13.8" x14ac:dyDescent="0.25"/>
  <cols>
    <col min="2" max="2" width="74.796875" customWidth="1"/>
    <col min="3" max="3" width="29.09765625" bestFit="1" customWidth="1"/>
    <col min="4" max="4" width="10.296875" bestFit="1" customWidth="1"/>
    <col min="5" max="5" width="23.3984375" bestFit="1" customWidth="1"/>
    <col min="6" max="6" width="17.3984375" customWidth="1"/>
    <col min="7" max="7" width="60.59765625" bestFit="1" customWidth="1"/>
    <col min="8" max="8" width="21.5" bestFit="1" customWidth="1"/>
    <col min="9" max="9" width="10.296875" bestFit="1" customWidth="1"/>
    <col min="10" max="10" width="22.59765625" bestFit="1" customWidth="1"/>
    <col min="11" max="11" width="19" customWidth="1"/>
    <col min="12" max="12" width="10.19921875" bestFit="1" customWidth="1"/>
    <col min="13" max="13" width="11.19921875" bestFit="1" customWidth="1"/>
    <col min="14" max="14" width="22.3984375" bestFit="1" customWidth="1"/>
    <col min="15" max="15" width="30.19921875" bestFit="1" customWidth="1"/>
    <col min="16" max="16" width="12.5" bestFit="1" customWidth="1"/>
    <col min="18" max="18" width="30.19921875" bestFit="1" customWidth="1"/>
    <col min="19" max="19" width="12.5" bestFit="1" customWidth="1"/>
    <col min="20" max="20" width="14.69921875" bestFit="1" customWidth="1"/>
    <col min="21" max="21" width="13" bestFit="1" customWidth="1"/>
    <col min="23" max="23" width="25.296875" bestFit="1" customWidth="1"/>
    <col min="24" max="24" width="17.09765625" customWidth="1"/>
    <col min="25" max="25" width="13.3984375" customWidth="1"/>
  </cols>
  <sheetData>
    <row r="1" spans="1:7" x14ac:dyDescent="0.25">
      <c r="A1" s="260" t="s">
        <v>334</v>
      </c>
      <c r="B1" s="260"/>
      <c r="C1" s="260"/>
      <c r="D1" s="260"/>
      <c r="E1" s="260"/>
      <c r="F1" s="260"/>
      <c r="G1" s="260"/>
    </row>
    <row r="2" spans="1:7" x14ac:dyDescent="0.25">
      <c r="A2" s="260"/>
      <c r="B2" s="260"/>
      <c r="C2" s="260"/>
      <c r="D2" s="260"/>
      <c r="E2" s="260"/>
      <c r="F2" s="260"/>
      <c r="G2" s="260"/>
    </row>
    <row r="3" spans="1:7" x14ac:dyDescent="0.25">
      <c r="A3" s="260"/>
      <c r="B3" s="260"/>
      <c r="C3" s="260"/>
      <c r="D3" s="260"/>
      <c r="E3" s="260"/>
      <c r="F3" s="260"/>
      <c r="G3" s="260"/>
    </row>
    <row r="4" spans="1:7" x14ac:dyDescent="0.25">
      <c r="A4" s="260"/>
      <c r="B4" s="260"/>
      <c r="C4" s="260"/>
      <c r="D4" s="260"/>
      <c r="E4" s="260"/>
      <c r="F4" s="260"/>
      <c r="G4" s="260"/>
    </row>
    <row r="5" spans="1:7" x14ac:dyDescent="0.25">
      <c r="A5" s="260"/>
      <c r="B5" s="260"/>
      <c r="C5" s="260"/>
      <c r="D5" s="260"/>
      <c r="E5" s="260"/>
      <c r="F5" s="260"/>
      <c r="G5" s="260"/>
    </row>
    <row r="9" spans="1:7" ht="24.6" x14ac:dyDescent="0.4">
      <c r="A9" s="188" t="s">
        <v>14</v>
      </c>
      <c r="B9" s="188"/>
    </row>
    <row r="13" spans="1:7" x14ac:dyDescent="0.25">
      <c r="C13" t="s">
        <v>310</v>
      </c>
    </row>
    <row r="19" spans="3:19" ht="14.4" thickBot="1" x14ac:dyDescent="0.3"/>
    <row r="20" spans="3:19" x14ac:dyDescent="0.25">
      <c r="C20" s="10"/>
      <c r="D20" s="11"/>
      <c r="E20" s="11"/>
      <c r="F20" s="12"/>
    </row>
    <row r="21" spans="3:19" ht="14.4" thickBot="1" x14ac:dyDescent="0.3">
      <c r="C21" s="13" t="s">
        <v>15</v>
      </c>
      <c r="F21" s="189" t="s">
        <v>16</v>
      </c>
    </row>
    <row r="22" spans="3:19" x14ac:dyDescent="0.25">
      <c r="C22" s="16"/>
      <c r="F22" s="15"/>
      <c r="S22" s="12"/>
    </row>
    <row r="23" spans="3:19" x14ac:dyDescent="0.25">
      <c r="C23" s="16" t="s">
        <v>17</v>
      </c>
      <c r="E23" s="9" t="s">
        <v>18</v>
      </c>
      <c r="F23" s="15" t="s">
        <v>17</v>
      </c>
      <c r="S23" s="15"/>
    </row>
    <row r="24" spans="3:19" x14ac:dyDescent="0.25">
      <c r="C24" s="16"/>
      <c r="F24" s="15"/>
      <c r="S24" s="15"/>
    </row>
    <row r="25" spans="3:19" x14ac:dyDescent="0.25">
      <c r="C25" s="16"/>
      <c r="F25" s="15"/>
      <c r="S25" s="15"/>
    </row>
    <row r="26" spans="3:19" x14ac:dyDescent="0.25">
      <c r="C26" s="16" t="s">
        <v>19</v>
      </c>
      <c r="E26" s="9" t="s">
        <v>20</v>
      </c>
      <c r="F26" s="15" t="s">
        <v>19</v>
      </c>
      <c r="S26" s="15"/>
    </row>
    <row r="27" spans="3:19" ht="14.4" thickBot="1" x14ac:dyDescent="0.3">
      <c r="C27" s="17"/>
      <c r="D27" s="18"/>
      <c r="E27" s="18"/>
      <c r="F27" s="19"/>
      <c r="S27" s="15"/>
    </row>
    <row r="28" spans="3:19" x14ac:dyDescent="0.25">
      <c r="S28" s="15"/>
    </row>
    <row r="29" spans="3:19" ht="14.4" thickBot="1" x14ac:dyDescent="0.3">
      <c r="S29" s="19"/>
    </row>
    <row r="41" spans="3:5" x14ac:dyDescent="0.25">
      <c r="C41" s="14" t="s">
        <v>311</v>
      </c>
      <c r="D41" s="14"/>
      <c r="E41" s="14"/>
    </row>
    <row r="43" spans="3:5" x14ac:dyDescent="0.25">
      <c r="C43" t="s">
        <v>80</v>
      </c>
      <c r="D43" s="2">
        <v>2000000</v>
      </c>
    </row>
    <row r="44" spans="3:5" ht="14.4" thickBot="1" x14ac:dyDescent="0.3">
      <c r="C44" t="s">
        <v>82</v>
      </c>
      <c r="D44">
        <v>30</v>
      </c>
    </row>
    <row r="45" spans="3:5" ht="14.4" thickBot="1" x14ac:dyDescent="0.3">
      <c r="C45" s="64" t="s">
        <v>84</v>
      </c>
      <c r="D45" s="191"/>
    </row>
    <row r="46" spans="3:5" ht="14.4" thickBot="1" x14ac:dyDescent="0.3">
      <c r="C46" s="64" t="s">
        <v>235</v>
      </c>
      <c r="D46" s="190"/>
    </row>
    <row r="47" spans="3:5" ht="14.4" thickBot="1" x14ac:dyDescent="0.3">
      <c r="C47" t="s">
        <v>81</v>
      </c>
      <c r="D47" s="46">
        <v>0.1</v>
      </c>
    </row>
    <row r="48" spans="3:5" ht="14.4" thickBot="1" x14ac:dyDescent="0.3">
      <c r="C48" s="64" t="s">
        <v>32</v>
      </c>
      <c r="D48" s="173"/>
    </row>
    <row r="49" spans="1:7" ht="14.4" thickBot="1" x14ac:dyDescent="0.3"/>
    <row r="50" spans="1:7" ht="14.4" thickBot="1" x14ac:dyDescent="0.3">
      <c r="C50" t="s">
        <v>83</v>
      </c>
      <c r="D50" s="192"/>
    </row>
    <row r="51" spans="1:7" ht="14.4" thickBot="1" x14ac:dyDescent="0.3">
      <c r="C51" t="s">
        <v>85</v>
      </c>
      <c r="D51" s="193"/>
    </row>
    <row r="53" spans="1:7" ht="13.8" customHeight="1" x14ac:dyDescent="0.25"/>
    <row r="58" spans="1:7" x14ac:dyDescent="0.25">
      <c r="A58" t="s">
        <v>7</v>
      </c>
    </row>
    <row r="61" spans="1:7" x14ac:dyDescent="0.25">
      <c r="E61" t="s">
        <v>25</v>
      </c>
      <c r="F61" s="2">
        <v>30000</v>
      </c>
      <c r="G61" t="s">
        <v>5</v>
      </c>
    </row>
    <row r="63" spans="1:7" x14ac:dyDescent="0.25">
      <c r="E63" t="s">
        <v>76</v>
      </c>
      <c r="F63">
        <v>30</v>
      </c>
    </row>
    <row r="64" spans="1:7" ht="14.4" thickBot="1" x14ac:dyDescent="0.3">
      <c r="E64" s="64" t="s">
        <v>312</v>
      </c>
    </row>
    <row r="65" spans="1:9" ht="14.4" thickBot="1" x14ac:dyDescent="0.3">
      <c r="E65" s="64" t="s">
        <v>236</v>
      </c>
      <c r="F65" s="191"/>
    </row>
    <row r="67" spans="1:9" ht="14.4" thickBot="1" x14ac:dyDescent="0.3">
      <c r="E67" t="s">
        <v>237</v>
      </c>
      <c r="F67" s="42">
        <v>7.0000000000000007E-2</v>
      </c>
    </row>
    <row r="68" spans="1:9" ht="14.4" thickBot="1" x14ac:dyDescent="0.3">
      <c r="E68" s="64" t="s">
        <v>238</v>
      </c>
      <c r="F68" s="195"/>
      <c r="G68" s="5"/>
    </row>
    <row r="69" spans="1:9" ht="14.4" thickBot="1" x14ac:dyDescent="0.3"/>
    <row r="70" spans="1:9" ht="16.2" thickBot="1" x14ac:dyDescent="0.35">
      <c r="E70" s="91" t="s">
        <v>239</v>
      </c>
      <c r="F70" s="194"/>
    </row>
    <row r="71" spans="1:9" x14ac:dyDescent="0.25">
      <c r="E71" s="91" t="s">
        <v>240</v>
      </c>
      <c r="F71" s="1"/>
      <c r="G71" s="1"/>
    </row>
    <row r="74" spans="1:9" x14ac:dyDescent="0.25">
      <c r="F74" s="2"/>
    </row>
    <row r="76" spans="1:9" x14ac:dyDescent="0.25">
      <c r="F76" s="42"/>
    </row>
    <row r="77" spans="1:9" x14ac:dyDescent="0.25">
      <c r="F77" s="1"/>
    </row>
    <row r="78" spans="1:9" x14ac:dyDescent="0.25">
      <c r="D78" s="120"/>
      <c r="E78" s="120"/>
      <c r="F78" s="125"/>
      <c r="G78" s="120"/>
      <c r="H78" s="120"/>
      <c r="I78" s="120"/>
    </row>
    <row r="79" spans="1:9" x14ac:dyDescent="0.25">
      <c r="A79" s="95"/>
      <c r="B79" s="120"/>
      <c r="C79" s="120"/>
      <c r="D79" s="120"/>
      <c r="E79" s="120"/>
      <c r="F79" s="120"/>
      <c r="G79" s="120"/>
      <c r="H79" s="120"/>
      <c r="I79" s="120"/>
    </row>
    <row r="80" spans="1:9" ht="131.4" thickBot="1" x14ac:dyDescent="0.3">
      <c r="A80" s="95"/>
      <c r="B80" s="120" t="s">
        <v>320</v>
      </c>
      <c r="C80" s="120"/>
      <c r="D80" s="120"/>
      <c r="E80" s="120"/>
      <c r="F80" s="120"/>
      <c r="G80" s="120"/>
      <c r="H80" s="120"/>
      <c r="I80" s="120"/>
    </row>
    <row r="81" spans="1:24" x14ac:dyDescent="0.25">
      <c r="A81" s="95"/>
      <c r="B81" s="120"/>
      <c r="C81" s="120"/>
      <c r="D81" s="120"/>
      <c r="F81" s="10" t="s">
        <v>231</v>
      </c>
      <c r="G81" s="11"/>
      <c r="H81" s="11"/>
      <c r="I81" s="11"/>
      <c r="J81" s="12"/>
      <c r="U81" s="2"/>
    </row>
    <row r="82" spans="1:24" x14ac:dyDescent="0.25">
      <c r="A82" s="95"/>
      <c r="B82" s="120"/>
      <c r="C82" s="120"/>
      <c r="D82" s="120"/>
      <c r="F82" s="16" t="s">
        <v>232</v>
      </c>
      <c r="H82">
        <v>80000</v>
      </c>
      <c r="J82" s="15"/>
      <c r="U82" s="2"/>
    </row>
    <row r="83" spans="1:24" x14ac:dyDescent="0.25">
      <c r="A83" s="95"/>
      <c r="B83" s="120"/>
      <c r="C83" s="120"/>
      <c r="D83" s="120"/>
      <c r="F83" s="16" t="s">
        <v>233</v>
      </c>
      <c r="J83" s="15"/>
      <c r="U83" s="46"/>
    </row>
    <row r="84" spans="1:24" x14ac:dyDescent="0.25">
      <c r="A84" s="95"/>
      <c r="B84" s="108"/>
      <c r="C84" s="109"/>
      <c r="D84" s="110"/>
      <c r="F84" s="16" t="s">
        <v>234</v>
      </c>
      <c r="H84" t="s">
        <v>322</v>
      </c>
      <c r="J84" s="15"/>
      <c r="U84" s="4"/>
      <c r="X84" s="47"/>
    </row>
    <row r="85" spans="1:24" x14ac:dyDescent="0.25">
      <c r="A85" s="95"/>
      <c r="B85" s="108"/>
      <c r="C85" s="108"/>
      <c r="D85" s="108"/>
      <c r="F85" s="16"/>
      <c r="J85" s="15"/>
      <c r="X85" s="48"/>
    </row>
    <row r="86" spans="1:24" x14ac:dyDescent="0.25">
      <c r="F86" s="16"/>
      <c r="J86" s="15"/>
      <c r="X86" s="49"/>
    </row>
    <row r="87" spans="1:24" x14ac:dyDescent="0.25">
      <c r="F87" s="16"/>
      <c r="J87" s="15"/>
    </row>
    <row r="88" spans="1:24" ht="22.8" x14ac:dyDescent="0.25">
      <c r="E88" s="122"/>
      <c r="F88" s="16">
        <v>1</v>
      </c>
      <c r="G88" s="122"/>
      <c r="H88" t="s">
        <v>229</v>
      </c>
      <c r="I88" s="64"/>
      <c r="J88" s="15" t="s">
        <v>230</v>
      </c>
      <c r="K88" s="64"/>
    </row>
    <row r="89" spans="1:24" ht="22.8" x14ac:dyDescent="0.25">
      <c r="F89" s="16">
        <v>2</v>
      </c>
      <c r="G89" s="122"/>
      <c r="H89" t="s">
        <v>229</v>
      </c>
      <c r="I89" s="64"/>
      <c r="J89" s="15" t="s">
        <v>230</v>
      </c>
    </row>
    <row r="90" spans="1:24" ht="22.8" x14ac:dyDescent="0.25">
      <c r="A90" s="95"/>
      <c r="B90" s="109"/>
      <c r="C90" s="111"/>
      <c r="D90" s="109"/>
      <c r="F90" s="16">
        <v>3</v>
      </c>
      <c r="G90" s="122"/>
      <c r="H90" t="s">
        <v>229</v>
      </c>
      <c r="I90" s="64"/>
      <c r="J90" s="15" t="s">
        <v>230</v>
      </c>
    </row>
    <row r="91" spans="1:24" ht="13.8" customHeight="1" x14ac:dyDescent="0.25">
      <c r="A91" s="95"/>
      <c r="B91" s="112"/>
      <c r="C91" s="111"/>
      <c r="D91" s="109"/>
      <c r="F91" s="16">
        <v>4</v>
      </c>
      <c r="G91" s="122"/>
      <c r="H91" t="s">
        <v>229</v>
      </c>
      <c r="I91" s="64"/>
      <c r="J91" s="15" t="s">
        <v>230</v>
      </c>
    </row>
    <row r="92" spans="1:24" ht="14.4" thickBot="1" x14ac:dyDescent="0.3">
      <c r="A92" s="95"/>
      <c r="B92" s="109"/>
      <c r="C92" s="109"/>
      <c r="D92" s="109"/>
      <c r="F92" s="123"/>
      <c r="G92" s="66" t="s">
        <v>323</v>
      </c>
      <c r="H92" s="66"/>
      <c r="I92" s="66"/>
      <c r="J92" s="124"/>
    </row>
    <row r="93" spans="1:24" ht="14.4" thickBot="1" x14ac:dyDescent="0.3">
      <c r="A93" s="95"/>
      <c r="B93" s="109"/>
      <c r="C93" s="109"/>
      <c r="D93" s="109"/>
      <c r="F93" s="123"/>
      <c r="G93" s="196" t="s">
        <v>321</v>
      </c>
      <c r="H93" s="66"/>
      <c r="I93" s="198"/>
      <c r="J93" s="124"/>
    </row>
    <row r="94" spans="1:24" ht="14.4" thickBot="1" x14ac:dyDescent="0.3">
      <c r="A94" s="95"/>
      <c r="B94" s="109"/>
      <c r="C94" s="109"/>
      <c r="D94" s="109"/>
      <c r="F94" s="123"/>
      <c r="G94" s="66"/>
      <c r="H94" s="66"/>
      <c r="J94" s="124"/>
    </row>
    <row r="95" spans="1:24" ht="14.4" thickBot="1" x14ac:dyDescent="0.3">
      <c r="A95" s="95"/>
      <c r="B95" s="114"/>
      <c r="C95" s="109"/>
      <c r="D95" s="109"/>
      <c r="F95" s="123"/>
      <c r="G95" s="66" t="s">
        <v>313</v>
      </c>
      <c r="H95" s="66"/>
      <c r="I95" s="151"/>
      <c r="J95" s="124"/>
    </row>
    <row r="96" spans="1:24" ht="14.4" thickBot="1" x14ac:dyDescent="0.3">
      <c r="A96" s="95"/>
      <c r="B96" s="115"/>
      <c r="C96" s="109"/>
      <c r="D96" s="109"/>
      <c r="F96" s="16">
        <v>5</v>
      </c>
      <c r="G96" s="151"/>
      <c r="J96" s="15"/>
    </row>
    <row r="97" spans="1:15" ht="14.4" thickBot="1" x14ac:dyDescent="0.3">
      <c r="A97" s="95"/>
      <c r="B97" s="109"/>
      <c r="C97" s="113"/>
      <c r="D97" s="116"/>
      <c r="F97" s="16">
        <v>6</v>
      </c>
      <c r="G97" s="151"/>
      <c r="J97" s="15"/>
    </row>
    <row r="98" spans="1:15" ht="14.4" thickBot="1" x14ac:dyDescent="0.3">
      <c r="A98" s="95"/>
      <c r="B98" s="108"/>
      <c r="C98" s="117"/>
      <c r="D98" s="109"/>
      <c r="F98" s="16">
        <v>7</v>
      </c>
      <c r="G98" s="151"/>
      <c r="J98" s="15"/>
      <c r="O98" s="62"/>
    </row>
    <row r="99" spans="1:15" ht="14.4" thickBot="1" x14ac:dyDescent="0.3">
      <c r="A99" s="95"/>
      <c r="B99" s="109"/>
      <c r="C99" s="109"/>
      <c r="D99" s="118"/>
      <c r="F99" s="16">
        <v>8</v>
      </c>
      <c r="G99" s="151"/>
      <c r="J99" s="15"/>
      <c r="O99" s="62"/>
    </row>
    <row r="100" spans="1:15" ht="14.4" thickBot="1" x14ac:dyDescent="0.3">
      <c r="A100" s="95"/>
      <c r="B100" s="119"/>
      <c r="C100" s="240"/>
      <c r="D100" s="119"/>
      <c r="F100" s="16">
        <v>9</v>
      </c>
      <c r="G100" s="151"/>
      <c r="I100" s="1"/>
      <c r="J100" s="15"/>
      <c r="O100" s="42"/>
    </row>
    <row r="101" spans="1:15" ht="14.4" thickBot="1" x14ac:dyDescent="0.3">
      <c r="F101" s="16">
        <v>10</v>
      </c>
      <c r="G101" s="151"/>
      <c r="J101" s="15"/>
      <c r="O101" s="42"/>
    </row>
    <row r="102" spans="1:15" ht="14.4" thickBot="1" x14ac:dyDescent="0.3">
      <c r="F102" s="16">
        <v>11</v>
      </c>
      <c r="G102" s="151"/>
      <c r="J102" s="15"/>
      <c r="O102" s="4"/>
    </row>
    <row r="103" spans="1:15" ht="14.4" thickBot="1" x14ac:dyDescent="0.3">
      <c r="F103" s="16">
        <v>12</v>
      </c>
      <c r="G103" s="151"/>
      <c r="J103" s="15"/>
      <c r="O103" s="4"/>
    </row>
    <row r="104" spans="1:15" x14ac:dyDescent="0.25">
      <c r="F104" s="16"/>
      <c r="J104" s="15"/>
      <c r="O104" s="62"/>
    </row>
    <row r="105" spans="1:15" ht="14.4" thickBot="1" x14ac:dyDescent="0.3">
      <c r="F105" s="17"/>
      <c r="G105" s="18"/>
      <c r="H105" s="18"/>
      <c r="I105" s="197"/>
      <c r="J105" s="19"/>
      <c r="O105" s="62"/>
    </row>
    <row r="108" spans="1:15" x14ac:dyDescent="0.25">
      <c r="O108" s="5"/>
    </row>
    <row r="109" spans="1:15" ht="15.6" x14ac:dyDescent="0.3">
      <c r="O109" s="63"/>
    </row>
    <row r="112" spans="1:15" x14ac:dyDescent="0.25">
      <c r="J112" s="95"/>
      <c r="K112" s="95"/>
      <c r="L112" s="95"/>
    </row>
    <row r="113" spans="5:12" x14ac:dyDescent="0.25">
      <c r="G113" t="s">
        <v>241</v>
      </c>
      <c r="H113">
        <v>1000000</v>
      </c>
      <c r="J113" s="95"/>
      <c r="K113" s="244"/>
      <c r="L113" s="95"/>
    </row>
    <row r="114" spans="5:12" x14ac:dyDescent="0.25">
      <c r="G114" t="s">
        <v>242</v>
      </c>
      <c r="H114">
        <v>12</v>
      </c>
      <c r="J114" s="245"/>
      <c r="K114" s="244"/>
      <c r="L114" s="95"/>
    </row>
    <row r="115" spans="5:12" x14ac:dyDescent="0.25">
      <c r="G115" t="s">
        <v>283</v>
      </c>
      <c r="H115" s="4">
        <v>4.2999999999999997E-2</v>
      </c>
      <c r="J115" s="95"/>
      <c r="K115" s="244"/>
      <c r="L115" s="95"/>
    </row>
    <row r="116" spans="5:12" ht="15" x14ac:dyDescent="0.25">
      <c r="G116" t="s">
        <v>243</v>
      </c>
      <c r="J116" s="107"/>
      <c r="K116" s="106"/>
      <c r="L116" s="95"/>
    </row>
    <row r="117" spans="5:12" x14ac:dyDescent="0.25">
      <c r="E117" s="1"/>
      <c r="J117" s="246"/>
      <c r="K117" s="244"/>
      <c r="L117" s="95"/>
    </row>
    <row r="118" spans="5:12" ht="14.4" thickBot="1" x14ac:dyDescent="0.3">
      <c r="G118" t="s">
        <v>324</v>
      </c>
      <c r="J118" s="121"/>
      <c r="K118" s="244"/>
      <c r="L118" s="95"/>
    </row>
    <row r="119" spans="5:12" ht="14.4" thickBot="1" x14ac:dyDescent="0.3">
      <c r="F119" s="1"/>
      <c r="G119" t="s">
        <v>325</v>
      </c>
      <c r="H119" s="198"/>
      <c r="J119" s="121"/>
      <c r="K119" s="244"/>
      <c r="L119" s="95"/>
    </row>
    <row r="120" spans="5:12" x14ac:dyDescent="0.25">
      <c r="J120" s="121"/>
      <c r="K120" s="244"/>
      <c r="L120" s="95"/>
    </row>
    <row r="121" spans="5:12" x14ac:dyDescent="0.25">
      <c r="E121" s="95">
        <v>1</v>
      </c>
      <c r="G121" t="s">
        <v>244</v>
      </c>
      <c r="J121" s="95"/>
      <c r="K121" s="95"/>
      <c r="L121" s="95"/>
    </row>
    <row r="122" spans="5:12" x14ac:dyDescent="0.25">
      <c r="E122" s="95">
        <v>2</v>
      </c>
      <c r="G122" t="s">
        <v>245</v>
      </c>
      <c r="J122" s="121"/>
      <c r="K122" s="245"/>
      <c r="L122" s="95"/>
    </row>
    <row r="123" spans="5:12" x14ac:dyDescent="0.25">
      <c r="E123" s="95">
        <v>3</v>
      </c>
      <c r="G123" t="s">
        <v>246</v>
      </c>
      <c r="J123" s="121"/>
      <c r="K123" s="245"/>
      <c r="L123" s="95"/>
    </row>
    <row r="124" spans="5:12" x14ac:dyDescent="0.25">
      <c r="E124" s="95">
        <v>4</v>
      </c>
      <c r="G124" t="s">
        <v>326</v>
      </c>
      <c r="J124" s="121"/>
      <c r="K124" s="245"/>
      <c r="L124" s="95"/>
    </row>
    <row r="125" spans="5:12" ht="15" x14ac:dyDescent="0.25">
      <c r="E125">
        <v>5</v>
      </c>
      <c r="G125" t="s">
        <v>247</v>
      </c>
      <c r="J125" s="246"/>
      <c r="K125" s="105"/>
      <c r="L125" s="95"/>
    </row>
    <row r="126" spans="5:12" x14ac:dyDescent="0.25">
      <c r="E126">
        <v>6</v>
      </c>
      <c r="J126" s="95"/>
      <c r="K126" s="95"/>
      <c r="L126" s="95"/>
    </row>
    <row r="127" spans="5:12" ht="16.2" thickBot="1" x14ac:dyDescent="0.35">
      <c r="E127">
        <v>7</v>
      </c>
      <c r="G127" t="s">
        <v>248</v>
      </c>
      <c r="J127" s="121"/>
      <c r="K127" s="247"/>
      <c r="L127" s="95"/>
    </row>
    <row r="128" spans="5:12" x14ac:dyDescent="0.25">
      <c r="E128">
        <v>8</v>
      </c>
      <c r="G128" s="199">
        <f>PV(H115,12-4,-H119,,0)</f>
        <v>0</v>
      </c>
      <c r="J128" s="95"/>
      <c r="K128" s="95"/>
      <c r="L128" s="95"/>
    </row>
    <row r="129" spans="2:10" ht="14.4" thickBot="1" x14ac:dyDescent="0.3">
      <c r="E129">
        <v>9</v>
      </c>
      <c r="G129" s="200" t="s">
        <v>251</v>
      </c>
    </row>
    <row r="130" spans="2:10" x14ac:dyDescent="0.25">
      <c r="E130">
        <v>10</v>
      </c>
    </row>
    <row r="131" spans="2:10" x14ac:dyDescent="0.25">
      <c r="E131">
        <v>11</v>
      </c>
      <c r="G131" t="s">
        <v>249</v>
      </c>
    </row>
    <row r="132" spans="2:10" x14ac:dyDescent="0.25">
      <c r="E132">
        <v>12</v>
      </c>
      <c r="G132" s="1" t="s">
        <v>135</v>
      </c>
      <c r="H132" s="4">
        <v>-4.0000000000000001E-3</v>
      </c>
    </row>
    <row r="133" spans="2:10" x14ac:dyDescent="0.25">
      <c r="G133" s="1" t="s">
        <v>136</v>
      </c>
      <c r="H133" s="4">
        <v>-7.0000000000000001E-3</v>
      </c>
    </row>
    <row r="134" spans="2:10" x14ac:dyDescent="0.25">
      <c r="G134" s="1" t="s">
        <v>137</v>
      </c>
      <c r="H134" s="4">
        <v>2.8000000000000001E-2</v>
      </c>
    </row>
    <row r="135" spans="2:10" ht="15" x14ac:dyDescent="0.25">
      <c r="G135" s="61" t="s">
        <v>138</v>
      </c>
      <c r="H135" s="20">
        <v>5.2999999999999999E-2</v>
      </c>
    </row>
    <row r="136" spans="2:10" ht="14.4" thickBot="1" x14ac:dyDescent="0.3"/>
    <row r="137" spans="2:10" ht="14.4" thickBot="1" x14ac:dyDescent="0.3">
      <c r="G137" s="201" t="s">
        <v>250</v>
      </c>
      <c r="H137" s="202">
        <f>G128*(1+H132)*(1+H133)*(1+H134)*(1+H135)</f>
        <v>0</v>
      </c>
    </row>
    <row r="139" spans="2:10" x14ac:dyDescent="0.25">
      <c r="B139" s="260" t="s">
        <v>335</v>
      </c>
      <c r="C139" s="260"/>
      <c r="D139" s="260"/>
      <c r="E139" s="260"/>
      <c r="F139" s="260"/>
      <c r="G139" s="260"/>
      <c r="H139" s="260"/>
    </row>
    <row r="140" spans="2:10" x14ac:dyDescent="0.25">
      <c r="B140" s="260"/>
      <c r="C140" s="260"/>
      <c r="D140" s="260"/>
      <c r="E140" s="260"/>
      <c r="F140" s="260"/>
      <c r="G140" s="260"/>
      <c r="H140" s="260"/>
      <c r="I140" s="64"/>
      <c r="J140" s="64"/>
    </row>
    <row r="141" spans="2:10" x14ac:dyDescent="0.25">
      <c r="B141" s="260"/>
      <c r="C141" s="260"/>
      <c r="D141" s="260"/>
      <c r="E141" s="260"/>
      <c r="F141" s="260"/>
      <c r="G141" s="260"/>
      <c r="H141" s="260"/>
    </row>
    <row r="142" spans="2:10" x14ac:dyDescent="0.25">
      <c r="B142" s="260"/>
      <c r="C142" s="260"/>
      <c r="D142" s="260"/>
      <c r="E142" s="260"/>
      <c r="F142" s="260"/>
      <c r="G142" s="260"/>
      <c r="H142" s="260"/>
    </row>
    <row r="143" spans="2:10" x14ac:dyDescent="0.25">
      <c r="B143" s="260"/>
      <c r="C143" s="260"/>
      <c r="D143" s="260"/>
      <c r="E143" s="260"/>
      <c r="F143" s="260"/>
      <c r="G143" s="260"/>
      <c r="H143" s="260"/>
    </row>
    <row r="145" spans="2:22" x14ac:dyDescent="0.25">
      <c r="B145" t="s">
        <v>7</v>
      </c>
    </row>
    <row r="146" spans="2:22" x14ac:dyDescent="0.25">
      <c r="R146" t="s">
        <v>80</v>
      </c>
      <c r="S146" s="2">
        <v>220000</v>
      </c>
      <c r="T146">
        <v>4</v>
      </c>
      <c r="U146" t="s">
        <v>90</v>
      </c>
      <c r="V146" s="1" t="e">
        <f>IPMT($B$238,T146,$B$236,-$B$234)</f>
        <v>#NUM!</v>
      </c>
    </row>
    <row r="147" spans="2:22" x14ac:dyDescent="0.25">
      <c r="R147" t="s">
        <v>76</v>
      </c>
      <c r="S147">
        <v>5</v>
      </c>
      <c r="T147">
        <v>5</v>
      </c>
      <c r="U147" t="s">
        <v>91</v>
      </c>
      <c r="V147" s="41" t="e">
        <f>V146*(1+S151)^3*(1+S152)</f>
        <v>#NUM!</v>
      </c>
    </row>
    <row r="148" spans="2:22" x14ac:dyDescent="0.25">
      <c r="R148" t="s">
        <v>92</v>
      </c>
      <c r="S148">
        <f>S147*2</f>
        <v>10</v>
      </c>
      <c r="U148" t="s">
        <v>93</v>
      </c>
      <c r="V148" s="1" t="e">
        <f>IPMT($B$238,T147,$B$236,-$B$234)</f>
        <v>#NUM!</v>
      </c>
    </row>
    <row r="149" spans="2:22" x14ac:dyDescent="0.25">
      <c r="R149" t="s">
        <v>23</v>
      </c>
      <c r="S149" s="4">
        <v>6.3E-2</v>
      </c>
      <c r="U149" t="s">
        <v>94</v>
      </c>
      <c r="V149" s="41" t="e">
        <f>V148*(1+S151)^3*(1+S152)^2</f>
        <v>#NUM!</v>
      </c>
    </row>
    <row r="150" spans="2:22" x14ac:dyDescent="0.25">
      <c r="R150" t="s">
        <v>12</v>
      </c>
      <c r="S150" s="4">
        <f>(1+S149)^0.5-1</f>
        <v>3.1018913502560252E-2</v>
      </c>
    </row>
    <row r="151" spans="2:22" x14ac:dyDescent="0.25">
      <c r="R151" t="s">
        <v>95</v>
      </c>
      <c r="S151" s="4">
        <v>8.0000000000000002E-3</v>
      </c>
      <c r="U151" t="s">
        <v>46</v>
      </c>
      <c r="V151" s="43" t="e">
        <f>V149+V147</f>
        <v>#NUM!</v>
      </c>
    </row>
    <row r="152" spans="2:22" x14ac:dyDescent="0.25">
      <c r="R152" t="s">
        <v>96</v>
      </c>
      <c r="S152" s="4">
        <v>1.0999999999999999E-2</v>
      </c>
    </row>
    <row r="155" spans="2:22" x14ac:dyDescent="0.25">
      <c r="R155" t="s">
        <v>80</v>
      </c>
      <c r="S155">
        <v>220000</v>
      </c>
      <c r="T155">
        <v>4</v>
      </c>
      <c r="U155" t="s">
        <v>90</v>
      </c>
      <c r="V155">
        <v>4990.9941747049088</v>
      </c>
    </row>
    <row r="156" spans="2:22" x14ac:dyDescent="0.25">
      <c r="R156" t="s">
        <v>76</v>
      </c>
      <c r="S156">
        <v>5</v>
      </c>
      <c r="T156">
        <v>5</v>
      </c>
      <c r="U156" t="s">
        <v>91</v>
      </c>
      <c r="V156">
        <v>5167.9679886412396</v>
      </c>
    </row>
    <row r="157" spans="2:22" x14ac:dyDescent="0.25">
      <c r="E157" t="s">
        <v>80</v>
      </c>
      <c r="F157" s="2">
        <v>220000</v>
      </c>
      <c r="G157">
        <v>4</v>
      </c>
      <c r="H157" t="s">
        <v>90</v>
      </c>
      <c r="I157" s="1">
        <v>4990.9941747049088</v>
      </c>
      <c r="R157" t="s">
        <v>92</v>
      </c>
      <c r="S157">
        <v>10</v>
      </c>
      <c r="U157" t="s">
        <v>93</v>
      </c>
      <c r="V157">
        <v>4341.6440700337807</v>
      </c>
    </row>
    <row r="158" spans="2:22" x14ac:dyDescent="0.25">
      <c r="E158" t="s">
        <v>76</v>
      </c>
      <c r="F158">
        <v>5</v>
      </c>
      <c r="G158">
        <v>5</v>
      </c>
      <c r="H158" t="s">
        <v>91</v>
      </c>
      <c r="I158" s="41">
        <v>5167.9679886412396</v>
      </c>
      <c r="R158" t="s">
        <v>23</v>
      </c>
      <c r="S158">
        <v>6.3E-2</v>
      </c>
      <c r="U158" t="s">
        <v>94</v>
      </c>
      <c r="V158">
        <v>4545.0443401172552</v>
      </c>
    </row>
    <row r="159" spans="2:22" x14ac:dyDescent="0.25">
      <c r="E159" t="s">
        <v>92</v>
      </c>
      <c r="F159">
        <v>10</v>
      </c>
      <c r="H159" t="s">
        <v>93</v>
      </c>
      <c r="I159" s="1">
        <v>4341.6440700337807</v>
      </c>
      <c r="R159" t="s">
        <v>12</v>
      </c>
      <c r="S159">
        <v>3.1018913502560252E-2</v>
      </c>
    </row>
    <row r="160" spans="2:22" x14ac:dyDescent="0.25">
      <c r="E160" t="s">
        <v>23</v>
      </c>
      <c r="F160" s="4">
        <v>6.3E-2</v>
      </c>
      <c r="H160" t="s">
        <v>94</v>
      </c>
      <c r="I160" s="41">
        <v>4545.0443401172552</v>
      </c>
      <c r="R160" t="s">
        <v>95</v>
      </c>
      <c r="S160">
        <v>8.0000000000000002E-3</v>
      </c>
      <c r="U160" t="s">
        <v>46</v>
      </c>
      <c r="V160">
        <v>9713.0123287584938</v>
      </c>
    </row>
    <row r="161" spans="3:23" x14ac:dyDescent="0.25">
      <c r="E161" t="s">
        <v>12</v>
      </c>
      <c r="F161" s="4">
        <v>3.1018913502560252E-2</v>
      </c>
      <c r="R161" t="s">
        <v>96</v>
      </c>
      <c r="S161">
        <v>1.0999999999999999E-2</v>
      </c>
    </row>
    <row r="162" spans="3:23" x14ac:dyDescent="0.25">
      <c r="E162" t="s">
        <v>95</v>
      </c>
      <c r="F162" s="4">
        <v>8.0000000000000002E-3</v>
      </c>
      <c r="H162" t="s">
        <v>46</v>
      </c>
      <c r="I162" s="256">
        <v>9713.0123287584938</v>
      </c>
    </row>
    <row r="163" spans="3:23" x14ac:dyDescent="0.25">
      <c r="C163" t="s">
        <v>7</v>
      </c>
      <c r="E163" t="s">
        <v>96</v>
      </c>
      <c r="F163" s="4">
        <v>1.0999999999999999E-2</v>
      </c>
    </row>
    <row r="171" spans="3:23" x14ac:dyDescent="0.25">
      <c r="R171" t="s">
        <v>97</v>
      </c>
      <c r="S171" s="2">
        <v>800000</v>
      </c>
    </row>
    <row r="172" spans="3:23" x14ac:dyDescent="0.25">
      <c r="R172" t="s">
        <v>98</v>
      </c>
      <c r="S172">
        <v>25</v>
      </c>
      <c r="V172" t="s">
        <v>99</v>
      </c>
      <c r="W172" s="1">
        <f>PMT(S174,S173,-S171)</f>
        <v>12910.36365915725</v>
      </c>
    </row>
    <row r="173" spans="3:23" x14ac:dyDescent="0.25">
      <c r="R173" t="s">
        <v>22</v>
      </c>
      <c r="S173">
        <f>S172*12</f>
        <v>300</v>
      </c>
    </row>
    <row r="174" spans="3:23" x14ac:dyDescent="0.25">
      <c r="R174" t="s">
        <v>10</v>
      </c>
      <c r="S174" s="4">
        <v>1.6E-2</v>
      </c>
    </row>
    <row r="175" spans="3:23" x14ac:dyDescent="0.25">
      <c r="U175">
        <f>(S172-15)*12</f>
        <v>120</v>
      </c>
      <c r="V175" t="s">
        <v>100</v>
      </c>
    </row>
    <row r="176" spans="3:23" x14ac:dyDescent="0.25">
      <c r="R176" t="s">
        <v>101</v>
      </c>
      <c r="S176" s="2">
        <v>500000</v>
      </c>
      <c r="W176" s="41">
        <f>PV(S174,U175,-W172)</f>
        <v>686789.2851111762</v>
      </c>
    </row>
    <row r="177" spans="5:23" x14ac:dyDescent="0.25">
      <c r="V177" t="s">
        <v>102</v>
      </c>
    </row>
    <row r="178" spans="5:23" x14ac:dyDescent="0.25">
      <c r="R178" t="s">
        <v>103</v>
      </c>
      <c r="S178" s="42">
        <v>0.05</v>
      </c>
      <c r="W178" s="41">
        <f>W176*(1+S178)*(1+S182)</f>
        <v>747117.25405405799</v>
      </c>
    </row>
    <row r="179" spans="5:23" x14ac:dyDescent="0.25">
      <c r="R179" t="s">
        <v>104</v>
      </c>
      <c r="S179">
        <v>103.5</v>
      </c>
    </row>
    <row r="180" spans="5:23" x14ac:dyDescent="0.25">
      <c r="R180" t="s">
        <v>105</v>
      </c>
      <c r="S180">
        <v>107.23</v>
      </c>
      <c r="V180" t="s">
        <v>106</v>
      </c>
      <c r="W180" s="45">
        <f>W178-S176</f>
        <v>247117.25405405799</v>
      </c>
    </row>
    <row r="182" spans="5:23" x14ac:dyDescent="0.25">
      <c r="R182" t="s">
        <v>107</v>
      </c>
      <c r="S182" s="50">
        <f>S180/S179-1</f>
        <v>3.6038647342995223E-2</v>
      </c>
    </row>
    <row r="184" spans="5:23" x14ac:dyDescent="0.25">
      <c r="E184" t="s">
        <v>97</v>
      </c>
      <c r="F184">
        <v>800000</v>
      </c>
    </row>
    <row r="185" spans="5:23" x14ac:dyDescent="0.25">
      <c r="E185" t="s">
        <v>98</v>
      </c>
      <c r="F185">
        <v>25</v>
      </c>
      <c r="I185" t="s">
        <v>99</v>
      </c>
      <c r="J185">
        <v>12910.36365915725</v>
      </c>
    </row>
    <row r="186" spans="5:23" x14ac:dyDescent="0.25">
      <c r="E186" t="s">
        <v>22</v>
      </c>
      <c r="F186">
        <v>300</v>
      </c>
    </row>
    <row r="187" spans="5:23" x14ac:dyDescent="0.25">
      <c r="E187" t="s">
        <v>10</v>
      </c>
      <c r="F187">
        <v>1.6E-2</v>
      </c>
    </row>
    <row r="188" spans="5:23" x14ac:dyDescent="0.25">
      <c r="H188">
        <v>120</v>
      </c>
      <c r="I188" t="s">
        <v>100</v>
      </c>
    </row>
    <row r="189" spans="5:23" x14ac:dyDescent="0.25">
      <c r="E189" t="s">
        <v>101</v>
      </c>
      <c r="F189">
        <v>500000</v>
      </c>
      <c r="J189">
        <v>686789.2851111762</v>
      </c>
    </row>
    <row r="190" spans="5:23" x14ac:dyDescent="0.25">
      <c r="I190" t="s">
        <v>102</v>
      </c>
    </row>
    <row r="191" spans="5:23" x14ac:dyDescent="0.25">
      <c r="E191" t="s">
        <v>103</v>
      </c>
      <c r="F191">
        <v>0.05</v>
      </c>
      <c r="J191">
        <v>747117.25405405799</v>
      </c>
    </row>
    <row r="192" spans="5:23" x14ac:dyDescent="0.25">
      <c r="E192" t="s">
        <v>104</v>
      </c>
      <c r="F192">
        <v>103.5</v>
      </c>
    </row>
    <row r="193" spans="5:10" x14ac:dyDescent="0.25">
      <c r="E193" t="s">
        <v>105</v>
      </c>
      <c r="F193">
        <v>107.23</v>
      </c>
      <c r="I193" t="s">
        <v>106</v>
      </c>
      <c r="J193" s="140">
        <v>247117.25405405799</v>
      </c>
    </row>
    <row r="195" spans="5:10" x14ac:dyDescent="0.25">
      <c r="E195" t="s">
        <v>107</v>
      </c>
      <c r="F195">
        <v>3.6038647342995223E-2</v>
      </c>
    </row>
  </sheetData>
  <mergeCells count="2">
    <mergeCell ref="B139:H143"/>
    <mergeCell ref="A1:G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66AB-B265-4291-8E09-7383C7B4406A}">
  <dimension ref="A1:Y277"/>
  <sheetViews>
    <sheetView rightToLeft="1" zoomScale="88" zoomScaleNormal="88" workbookViewId="0">
      <selection activeCell="H1" sqref="H1"/>
    </sheetView>
  </sheetViews>
  <sheetFormatPr defaultRowHeight="13.8" x14ac:dyDescent="0.25"/>
  <cols>
    <col min="5" max="5" width="18.796875" bestFit="1" customWidth="1"/>
    <col min="7" max="7" width="19.8984375" bestFit="1" customWidth="1"/>
    <col min="8" max="8" width="13.09765625" bestFit="1" customWidth="1"/>
    <col min="11" max="11" width="24.296875" bestFit="1" customWidth="1"/>
    <col min="15" max="15" width="39.59765625" bestFit="1" customWidth="1"/>
    <col min="17" max="17" width="39.59765625" bestFit="1" customWidth="1"/>
  </cols>
  <sheetData>
    <row r="1" spans="1:23" ht="90" x14ac:dyDescent="1.45">
      <c r="A1" s="241" t="s">
        <v>327</v>
      </c>
      <c r="B1" s="14"/>
      <c r="C1" s="14"/>
      <c r="D1" s="14"/>
    </row>
    <row r="9" spans="1:23" x14ac:dyDescent="0.25">
      <c r="N9" s="4"/>
    </row>
    <row r="13" spans="1:23" x14ac:dyDescent="0.25">
      <c r="A13" t="s">
        <v>252</v>
      </c>
    </row>
    <row r="16" spans="1:23" x14ac:dyDescent="0.25">
      <c r="V16">
        <v>60000</v>
      </c>
      <c r="W16" t="s">
        <v>285</v>
      </c>
    </row>
    <row r="17" spans="1:25" x14ac:dyDescent="0.25">
      <c r="V17" s="42">
        <v>0.03</v>
      </c>
      <c r="W17" t="s">
        <v>286</v>
      </c>
    </row>
    <row r="18" spans="1:25" x14ac:dyDescent="0.25">
      <c r="V18">
        <f>V16/(1+V17)</f>
        <v>58252.427184466018</v>
      </c>
      <c r="W18" t="s">
        <v>287</v>
      </c>
    </row>
    <row r="19" spans="1:25" x14ac:dyDescent="0.25">
      <c r="V19" s="4">
        <f>RATE(1,,50000,-V18)</f>
        <v>0.16504854368932043</v>
      </c>
      <c r="W19" t="s">
        <v>288</v>
      </c>
      <c r="Y19" s="4" t="s">
        <v>255</v>
      </c>
    </row>
    <row r="20" spans="1:25" x14ac:dyDescent="0.25">
      <c r="V20" s="141">
        <f>(1+V19)*(1+ V17)-1</f>
        <v>0.19999999999999996</v>
      </c>
      <c r="W20" t="s">
        <v>289</v>
      </c>
      <c r="Y20" s="42" t="s">
        <v>290</v>
      </c>
    </row>
    <row r="26" spans="1:25" x14ac:dyDescent="0.25">
      <c r="C26" s="42"/>
      <c r="D26" s="261"/>
      <c r="E26" s="267"/>
    </row>
    <row r="27" spans="1:25" x14ac:dyDescent="0.25">
      <c r="D27" s="261"/>
      <c r="E27" s="267"/>
    </row>
    <row r="28" spans="1:25" x14ac:dyDescent="0.25">
      <c r="D28" t="s">
        <v>331</v>
      </c>
    </row>
    <row r="29" spans="1:25" ht="30" x14ac:dyDescent="0.5">
      <c r="A29" s="126" t="s">
        <v>253</v>
      </c>
      <c r="B29" s="126"/>
      <c r="C29" s="126"/>
      <c r="D29" s="126"/>
      <c r="E29" s="126"/>
      <c r="F29" s="126"/>
      <c r="G29" s="126"/>
    </row>
    <row r="40" spans="2:12" x14ac:dyDescent="0.25">
      <c r="B40">
        <v>60000</v>
      </c>
      <c r="C40" t="s">
        <v>18</v>
      </c>
      <c r="E40" s="261" t="s">
        <v>258</v>
      </c>
      <c r="F40" s="261"/>
      <c r="G40" s="261"/>
      <c r="H40" s="9" t="s">
        <v>254</v>
      </c>
      <c r="I40" s="51" t="s">
        <v>255</v>
      </c>
      <c r="J40" s="51"/>
      <c r="K40" s="51"/>
    </row>
    <row r="41" spans="2:12" x14ac:dyDescent="0.25">
      <c r="B41" t="s">
        <v>256</v>
      </c>
      <c r="I41" s="51" t="s">
        <v>257</v>
      </c>
      <c r="J41" s="51"/>
      <c r="K41" s="51"/>
    </row>
    <row r="42" spans="2:12" ht="14.4" thickBot="1" x14ac:dyDescent="0.3"/>
    <row r="43" spans="2:12" x14ac:dyDescent="0.25">
      <c r="I43" s="262"/>
      <c r="J43" s="263"/>
    </row>
    <row r="44" spans="2:12" ht="14.4" thickBot="1" x14ac:dyDescent="0.3">
      <c r="I44" s="264"/>
      <c r="J44" s="265"/>
    </row>
    <row r="45" spans="2:12" x14ac:dyDescent="0.25">
      <c r="I45" s="266" t="s">
        <v>255</v>
      </c>
      <c r="J45" s="266"/>
    </row>
    <row r="46" spans="2:12" ht="14.4" thickBot="1" x14ac:dyDescent="0.3"/>
    <row r="47" spans="2:12" ht="14.4" thickBot="1" x14ac:dyDescent="0.3">
      <c r="I47" t="s">
        <v>328</v>
      </c>
      <c r="L47" s="173"/>
    </row>
    <row r="48" spans="2:12" x14ac:dyDescent="0.25">
      <c r="J48" t="s">
        <v>333</v>
      </c>
    </row>
    <row r="51" spans="1:7" s="140" customFormat="1" ht="30" x14ac:dyDescent="0.5">
      <c r="A51" s="139"/>
      <c r="B51" s="139"/>
      <c r="C51" s="139"/>
      <c r="D51" s="139"/>
      <c r="E51" s="139"/>
      <c r="F51" s="139"/>
      <c r="G51" s="139"/>
    </row>
    <row r="68" spans="2:6" ht="14.4" thickBot="1" x14ac:dyDescent="0.3">
      <c r="B68" t="s">
        <v>281</v>
      </c>
      <c r="F68" s="5"/>
    </row>
    <row r="69" spans="2:6" ht="14.4" thickBot="1" x14ac:dyDescent="0.3">
      <c r="D69" s="190"/>
    </row>
    <row r="75" spans="2:6" ht="14.4" thickBot="1" x14ac:dyDescent="0.3"/>
    <row r="76" spans="2:6" ht="16.2" thickBot="1" x14ac:dyDescent="0.35">
      <c r="D76" t="s">
        <v>282</v>
      </c>
      <c r="E76" s="255"/>
      <c r="F76" s="132" t="s">
        <v>267</v>
      </c>
    </row>
    <row r="109" spans="2:6" ht="14.4" thickBot="1" x14ac:dyDescent="0.3"/>
    <row r="110" spans="2:6" x14ac:dyDescent="0.25">
      <c r="B110" s="10" t="s">
        <v>259</v>
      </c>
      <c r="C110" s="11"/>
      <c r="D110" s="11"/>
      <c r="E110" s="11"/>
      <c r="F110" s="12"/>
    </row>
    <row r="111" spans="2:6" x14ac:dyDescent="0.25">
      <c r="B111" s="16" t="s">
        <v>260</v>
      </c>
      <c r="F111" s="15"/>
    </row>
    <row r="112" spans="2:6" ht="14.4" thickBot="1" x14ac:dyDescent="0.3">
      <c r="B112" s="17" t="s">
        <v>261</v>
      </c>
      <c r="C112" s="18"/>
      <c r="D112" s="18"/>
      <c r="E112" s="18"/>
      <c r="F112" s="19"/>
    </row>
    <row r="115" spans="2:8" x14ac:dyDescent="0.25">
      <c r="B115" t="s">
        <v>262</v>
      </c>
    </row>
    <row r="117" spans="2:8" x14ac:dyDescent="0.25">
      <c r="B117" t="s">
        <v>263</v>
      </c>
    </row>
    <row r="118" spans="2:8" ht="14.4" thickBot="1" x14ac:dyDescent="0.3"/>
    <row r="119" spans="2:8" ht="14.4" thickBot="1" x14ac:dyDescent="0.3">
      <c r="B119" s="51" t="s">
        <v>264</v>
      </c>
      <c r="C119" s="51"/>
      <c r="D119" s="51"/>
      <c r="E119" s="174"/>
      <c r="F119" s="51" t="s">
        <v>265</v>
      </c>
      <c r="G119" s="51"/>
    </row>
    <row r="122" spans="2:8" x14ac:dyDescent="0.25">
      <c r="B122" t="s">
        <v>266</v>
      </c>
    </row>
    <row r="123" spans="2:8" ht="21" x14ac:dyDescent="0.4">
      <c r="B123" t="s">
        <v>268</v>
      </c>
      <c r="G123" s="127" t="s">
        <v>267</v>
      </c>
      <c r="H123" t="s">
        <v>271</v>
      </c>
    </row>
    <row r="124" spans="2:8" ht="14.4" thickBot="1" x14ac:dyDescent="0.3"/>
    <row r="125" spans="2:8" ht="21.6" thickBot="1" x14ac:dyDescent="0.45">
      <c r="B125" s="51" t="s">
        <v>269</v>
      </c>
      <c r="C125" s="51"/>
      <c r="D125" s="51"/>
      <c r="E125" s="51"/>
      <c r="F125" s="174"/>
      <c r="G125" s="128" t="s">
        <v>267</v>
      </c>
      <c r="H125" s="51" t="s">
        <v>270</v>
      </c>
    </row>
    <row r="128" spans="2:8" x14ac:dyDescent="0.25">
      <c r="B128" t="s">
        <v>272</v>
      </c>
    </row>
    <row r="142" spans="15:17" ht="15.6" x14ac:dyDescent="0.3">
      <c r="O142" s="22" t="s">
        <v>273</v>
      </c>
      <c r="P142" s="24">
        <v>7.0000000000000001E-3</v>
      </c>
      <c r="Q142" s="22"/>
    </row>
    <row r="143" spans="15:17" ht="15.6" x14ac:dyDescent="0.3">
      <c r="O143" s="22" t="s">
        <v>274</v>
      </c>
      <c r="P143" s="24">
        <v>1.2999999999999999E-2</v>
      </c>
      <c r="Q143" s="22"/>
    </row>
    <row r="144" spans="15:17" ht="16.2" thickBot="1" x14ac:dyDescent="0.35">
      <c r="O144" s="22"/>
      <c r="P144" s="22"/>
      <c r="Q144" s="22"/>
    </row>
    <row r="145" spans="15:17" ht="16.2" thickBot="1" x14ac:dyDescent="0.35">
      <c r="O145" s="22" t="s">
        <v>275</v>
      </c>
      <c r="P145" s="242"/>
      <c r="Q145" s="130" t="s">
        <v>276</v>
      </c>
    </row>
    <row r="146" spans="15:17" ht="15.6" x14ac:dyDescent="0.3">
      <c r="O146" s="22" t="s">
        <v>277</v>
      </c>
      <c r="P146" s="129"/>
      <c r="Q146" s="130" t="s">
        <v>278</v>
      </c>
    </row>
    <row r="147" spans="15:17" ht="15.6" x14ac:dyDescent="0.3">
      <c r="O147" s="22"/>
      <c r="P147" s="22"/>
      <c r="Q147" s="22"/>
    </row>
    <row r="150" spans="15:17" ht="14.4" thickBot="1" x14ac:dyDescent="0.3">
      <c r="O150" t="s">
        <v>329</v>
      </c>
    </row>
    <row r="151" spans="15:17" ht="16.2" thickBot="1" x14ac:dyDescent="0.35">
      <c r="O151" s="131" t="s">
        <v>279</v>
      </c>
      <c r="P151" s="243"/>
      <c r="Q151" s="132" t="s">
        <v>267</v>
      </c>
    </row>
    <row r="166" spans="12:22" x14ac:dyDescent="0.25">
      <c r="L166" s="268" t="s">
        <v>280</v>
      </c>
      <c r="M166" s="269"/>
      <c r="N166" s="269"/>
      <c r="O166" s="269"/>
      <c r="P166" s="269"/>
      <c r="Q166" s="269"/>
      <c r="R166" s="269"/>
      <c r="S166" s="269"/>
      <c r="T166" s="269"/>
      <c r="U166" s="269"/>
      <c r="V166" s="269"/>
    </row>
    <row r="167" spans="12:22" x14ac:dyDescent="0.25">
      <c r="L167" s="269"/>
      <c r="M167" s="269"/>
      <c r="N167" s="269"/>
      <c r="O167" s="269"/>
      <c r="P167" s="269"/>
      <c r="Q167" s="269"/>
      <c r="R167" s="269"/>
      <c r="S167" s="269"/>
      <c r="T167" s="269"/>
      <c r="U167" s="269"/>
      <c r="V167" s="269"/>
    </row>
    <row r="168" spans="12:22" x14ac:dyDescent="0.25">
      <c r="L168" s="269"/>
      <c r="M168" s="269"/>
      <c r="N168" s="269"/>
      <c r="O168" s="269"/>
      <c r="P168" s="269"/>
      <c r="Q168" s="269"/>
      <c r="R168" s="269"/>
      <c r="S168" s="269"/>
      <c r="T168" s="269"/>
      <c r="U168" s="269"/>
      <c r="V168" s="269"/>
    </row>
    <row r="196" spans="14:20" x14ac:dyDescent="0.25">
      <c r="N196" s="261"/>
      <c r="O196" s="261"/>
      <c r="P196" s="261"/>
      <c r="Q196" s="261"/>
      <c r="R196" s="261"/>
      <c r="S196" s="261"/>
      <c r="T196" s="261"/>
    </row>
    <row r="255" spans="5:6" ht="15.6" x14ac:dyDescent="0.3">
      <c r="E255" s="22"/>
      <c r="F255" s="22"/>
    </row>
    <row r="256" spans="5:6" ht="15.6" x14ac:dyDescent="0.3">
      <c r="E256" s="22"/>
      <c r="F256" s="22"/>
    </row>
    <row r="257" spans="5:15" ht="15.6" x14ac:dyDescent="0.3">
      <c r="E257" s="22"/>
      <c r="F257" s="133"/>
    </row>
    <row r="266" spans="5:15" x14ac:dyDescent="0.25">
      <c r="F266" s="261"/>
      <c r="G266" s="261"/>
      <c r="H266" s="261"/>
      <c r="K266" s="261"/>
      <c r="L266" s="261"/>
      <c r="M266" s="261"/>
    </row>
    <row r="268" spans="5:15" x14ac:dyDescent="0.25">
      <c r="G268" s="261"/>
      <c r="H268" s="261"/>
      <c r="I268" s="261"/>
      <c r="J268" s="261"/>
      <c r="K268" s="261"/>
      <c r="L268" s="261"/>
      <c r="M268" s="261"/>
      <c r="N268" s="261"/>
      <c r="O268" s="261"/>
    </row>
    <row r="269" spans="5:15" x14ac:dyDescent="0.25">
      <c r="G269" s="261"/>
      <c r="H269" s="261"/>
      <c r="I269" s="261"/>
      <c r="J269" s="261"/>
      <c r="K269" s="261"/>
      <c r="L269" s="261"/>
      <c r="M269" s="261"/>
      <c r="N269" s="261"/>
      <c r="O269" s="261"/>
    </row>
    <row r="273" spans="7:9" ht="15.6" x14ac:dyDescent="0.3">
      <c r="G273" s="22"/>
      <c r="H273" s="134"/>
    </row>
    <row r="274" spans="7:9" ht="15.6" x14ac:dyDescent="0.3">
      <c r="G274" s="135"/>
      <c r="H274" s="136"/>
      <c r="I274" s="137"/>
    </row>
    <row r="275" spans="7:9" ht="15.6" x14ac:dyDescent="0.3">
      <c r="G275" s="22"/>
      <c r="H275" s="24"/>
    </row>
    <row r="276" spans="7:9" ht="15.6" x14ac:dyDescent="0.3">
      <c r="G276" s="22"/>
      <c r="H276" s="22"/>
    </row>
    <row r="277" spans="7:9" ht="15.6" x14ac:dyDescent="0.3">
      <c r="G277" s="135"/>
      <c r="H277" s="138"/>
      <c r="I277" s="137"/>
    </row>
  </sheetData>
  <mergeCells count="10">
    <mergeCell ref="D26:D27"/>
    <mergeCell ref="E40:G40"/>
    <mergeCell ref="L166:V168"/>
    <mergeCell ref="F266:H266"/>
    <mergeCell ref="K266:M266"/>
    <mergeCell ref="G268:O269"/>
    <mergeCell ref="N196:T196"/>
    <mergeCell ref="I43:J44"/>
    <mergeCell ref="I45:J45"/>
    <mergeCell ref="E26:E2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6</vt:i4>
      </vt:variant>
    </vt:vector>
  </HeadingPairs>
  <TitlesOfParts>
    <vt:vector size="6" baseType="lpstr">
      <vt:lpstr>הערות חשובות</vt:lpstr>
      <vt:lpstr>השאלות ממועד א 2024 מסלול ערב</vt:lpstr>
      <vt:lpstr>שאלה 1 ריבית משתנה</vt:lpstr>
      <vt:lpstr>תרגול עצמי</vt:lpstr>
      <vt:lpstr>סילוקין </vt:lpstr>
      <vt:lpstr>הצמדות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משתמש</dc:creator>
  <cp:lastModifiedBy>roy idan</cp:lastModifiedBy>
  <dcterms:created xsi:type="dcterms:W3CDTF">2015-06-05T18:19:34Z</dcterms:created>
  <dcterms:modified xsi:type="dcterms:W3CDTF">2024-05-26T15:03:58Z</dcterms:modified>
</cp:coreProperties>
</file>