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drawings/drawing3.xml" ContentType="application/vnd.openxmlformats-officedocument.drawing+xml"/>
  <Override PartName="/xl/ink/ink3.xml" ContentType="application/inkml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משתמש\Desktop\"/>
    </mc:Choice>
  </mc:AlternateContent>
  <xr:revisionPtr revIDLastSave="0" documentId="13_ncr:1_{D2EEE53E-426C-47E4-83F0-DE0BE957C000}" xr6:coauthVersionLast="47" xr6:coauthVersionMax="47" xr10:uidLastSave="{00000000-0000-0000-0000-000000000000}"/>
  <bookViews>
    <workbookView xWindow="-108" yWindow="-108" windowWidth="30936" windowHeight="16896" activeTab="8" xr2:uid="{00000000-000D-0000-FFFF-FFFF00000000}"/>
  </bookViews>
  <sheets>
    <sheet name="פרטים" sheetId="4" r:id="rId1"/>
    <sheet name="נתוני עזר" sheetId="5" r:id="rId2"/>
    <sheet name="לקוחות" sheetId="3" r:id="rId3"/>
    <sheet name="ניתוח סך הפדיון" sheetId="7" state="hidden" r:id="rId4"/>
    <sheet name="פדיון" sheetId="8" r:id="rId5"/>
    <sheet name="ניתוח  סך הפדיון" sheetId="9" r:id="rId6"/>
    <sheet name="גיליון1" sheetId="10" r:id="rId7"/>
    <sheet name="ניתוח  סך הפדיון (2)" sheetId="12" r:id="rId8"/>
    <sheet name="ניתוח  סך הפדיון (3)" sheetId="13" r:id="rId9"/>
  </sheets>
  <definedNames>
    <definedName name="_xlnm._FilterDatabase" localSheetId="2" hidden="1">לקוחות!#REF!</definedName>
    <definedName name="_xlnm._FilterDatabase" localSheetId="5" hidden="1">'ניתוח  סך הפדיון'!#REF!</definedName>
    <definedName name="_xlnm._FilterDatabase" localSheetId="7" hidden="1">'ניתוח  סך הפדיון (2)'!#REF!</definedName>
    <definedName name="_xlnm._FilterDatabase" localSheetId="8" hidden="1">'ניתוח  סך הפדיון (3)'!#REF!</definedName>
    <definedName name="_xlnm._FilterDatabase" localSheetId="3" hidden="1">'ניתוח סך הפדיון'!#REF!</definedName>
    <definedName name="_xlnm.Extract" localSheetId="4">פדיון!$B$5:$E$5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65" i="13" l="1"/>
  <c r="I65" i="13"/>
  <c r="J65" i="13" s="1"/>
  <c r="H65" i="13"/>
  <c r="P64" i="13"/>
  <c r="I64" i="13"/>
  <c r="J64" i="13" s="1"/>
  <c r="H64" i="13"/>
  <c r="P63" i="13"/>
  <c r="I63" i="13"/>
  <c r="J63" i="13" s="1"/>
  <c r="H63" i="13"/>
  <c r="P62" i="13"/>
  <c r="I62" i="13"/>
  <c r="J62" i="13" s="1"/>
  <c r="H62" i="13"/>
  <c r="P61" i="13"/>
  <c r="I61" i="13"/>
  <c r="J61" i="13" s="1"/>
  <c r="H61" i="13"/>
  <c r="P60" i="13"/>
  <c r="I60" i="13"/>
  <c r="J60" i="13" s="1"/>
  <c r="H60" i="13"/>
  <c r="P59" i="13"/>
  <c r="I59" i="13"/>
  <c r="J59" i="13" s="1"/>
  <c r="H59" i="13"/>
  <c r="P58" i="13"/>
  <c r="I58" i="13"/>
  <c r="J58" i="13" s="1"/>
  <c r="H58" i="13"/>
  <c r="P57" i="13"/>
  <c r="I57" i="13"/>
  <c r="J57" i="13" s="1"/>
  <c r="H57" i="13"/>
  <c r="P56" i="13"/>
  <c r="I56" i="13"/>
  <c r="J56" i="13" s="1"/>
  <c r="H56" i="13"/>
  <c r="P55" i="13"/>
  <c r="I55" i="13"/>
  <c r="J55" i="13" s="1"/>
  <c r="H55" i="13"/>
  <c r="T58" i="13"/>
  <c r="T56" i="13"/>
  <c r="T55" i="13"/>
  <c r="T54" i="13" a="1"/>
  <c r="T54" i="13" s="1"/>
  <c r="P54" i="13"/>
  <c r="I54" i="13"/>
  <c r="J54" i="13" s="1"/>
  <c r="H54" i="13"/>
  <c r="P53" i="13"/>
  <c r="J53" i="13"/>
  <c r="I53" i="13"/>
  <c r="H53" i="13"/>
  <c r="P52" i="13"/>
  <c r="I52" i="13"/>
  <c r="J52" i="13" s="1"/>
  <c r="H52" i="13"/>
  <c r="P51" i="13"/>
  <c r="J51" i="13"/>
  <c r="I51" i="13"/>
  <c r="H51" i="13"/>
  <c r="P50" i="13"/>
  <c r="I50" i="13"/>
  <c r="J50" i="13" s="1"/>
  <c r="H50" i="13"/>
  <c r="P49" i="13"/>
  <c r="J49" i="13"/>
  <c r="I49" i="13"/>
  <c r="H49" i="13"/>
  <c r="P48" i="13"/>
  <c r="I48" i="13"/>
  <c r="J48" i="13" s="1"/>
  <c r="H48" i="13"/>
  <c r="P47" i="13"/>
  <c r="J47" i="13"/>
  <c r="I47" i="13"/>
  <c r="H47" i="13"/>
  <c r="P46" i="13"/>
  <c r="I46" i="13"/>
  <c r="J46" i="13" s="1"/>
  <c r="H46" i="13"/>
  <c r="P45" i="13"/>
  <c r="J45" i="13"/>
  <c r="I45" i="13"/>
  <c r="H45" i="13"/>
  <c r="P44" i="13"/>
  <c r="I44" i="13"/>
  <c r="J44" i="13" s="1"/>
  <c r="H44" i="13"/>
  <c r="P43" i="13"/>
  <c r="J43" i="13"/>
  <c r="I43" i="13"/>
  <c r="H43" i="13"/>
  <c r="P42" i="13"/>
  <c r="I42" i="13"/>
  <c r="J42" i="13" s="1"/>
  <c r="H42" i="13"/>
  <c r="P41" i="13"/>
  <c r="J41" i="13"/>
  <c r="I41" i="13"/>
  <c r="H41" i="13"/>
  <c r="P40" i="13"/>
  <c r="I40" i="13"/>
  <c r="J40" i="13" s="1"/>
  <c r="H40" i="13"/>
  <c r="P39" i="13"/>
  <c r="J39" i="13"/>
  <c r="I39" i="13"/>
  <c r="H39" i="13"/>
  <c r="P38" i="13"/>
  <c r="I38" i="13"/>
  <c r="J38" i="13" s="1"/>
  <c r="H38" i="13"/>
  <c r="P37" i="13"/>
  <c r="J37" i="13"/>
  <c r="I37" i="13"/>
  <c r="H37" i="13"/>
  <c r="P36" i="13"/>
  <c r="I36" i="13"/>
  <c r="J36" i="13" s="1"/>
  <c r="H36" i="13"/>
  <c r="P35" i="13"/>
  <c r="J35" i="13"/>
  <c r="I35" i="13"/>
  <c r="H35" i="13"/>
  <c r="P34" i="13"/>
  <c r="I34" i="13"/>
  <c r="J34" i="13" s="1"/>
  <c r="H34" i="13"/>
  <c r="P33" i="13"/>
  <c r="J33" i="13"/>
  <c r="I33" i="13"/>
  <c r="H33" i="13"/>
  <c r="P32" i="13"/>
  <c r="I32" i="13"/>
  <c r="J32" i="13" s="1"/>
  <c r="H32" i="13"/>
  <c r="P31" i="13"/>
  <c r="J31" i="13"/>
  <c r="I31" i="13"/>
  <c r="H31" i="13"/>
  <c r="P30" i="13"/>
  <c r="I30" i="13"/>
  <c r="J30" i="13" s="1"/>
  <c r="H30" i="13"/>
  <c r="P29" i="13"/>
  <c r="J29" i="13"/>
  <c r="I29" i="13"/>
  <c r="H29" i="13"/>
  <c r="P28" i="13"/>
  <c r="I28" i="13"/>
  <c r="J28" i="13" s="1"/>
  <c r="H28" i="13"/>
  <c r="P27" i="13"/>
  <c r="J27" i="13"/>
  <c r="I27" i="13"/>
  <c r="H27" i="13"/>
  <c r="P26" i="13"/>
  <c r="I26" i="13"/>
  <c r="J26" i="13" s="1"/>
  <c r="H26" i="13"/>
  <c r="P25" i="13"/>
  <c r="J25" i="13"/>
  <c r="I25" i="13"/>
  <c r="H25" i="13"/>
  <c r="P24" i="13"/>
  <c r="I24" i="13"/>
  <c r="J24" i="13" s="1"/>
  <c r="H24" i="13"/>
  <c r="P23" i="13"/>
  <c r="J23" i="13"/>
  <c r="I23" i="13"/>
  <c r="H23" i="13"/>
  <c r="P22" i="13"/>
  <c r="I22" i="13"/>
  <c r="J22" i="13" s="1"/>
  <c r="H22" i="13"/>
  <c r="P21" i="13"/>
  <c r="J21" i="13"/>
  <c r="I21" i="13"/>
  <c r="H21" i="13"/>
  <c r="P20" i="13"/>
  <c r="I20" i="13"/>
  <c r="J20" i="13" s="1"/>
  <c r="H20" i="13"/>
  <c r="P19" i="13"/>
  <c r="J19" i="13"/>
  <c r="I19" i="13"/>
  <c r="H19" i="13"/>
  <c r="P18" i="13"/>
  <c r="I18" i="13"/>
  <c r="J18" i="13" s="1"/>
  <c r="H18" i="13"/>
  <c r="P17" i="13"/>
  <c r="J17" i="13"/>
  <c r="I17" i="13"/>
  <c r="H17" i="13"/>
  <c r="P16" i="13"/>
  <c r="I16" i="13"/>
  <c r="J16" i="13" s="1"/>
  <c r="H16" i="13"/>
  <c r="P15" i="13"/>
  <c r="I15" i="13"/>
  <c r="J15" i="13" s="1"/>
  <c r="H15" i="13"/>
  <c r="P14" i="13"/>
  <c r="J14" i="13"/>
  <c r="I14" i="13"/>
  <c r="H14" i="13"/>
  <c r="P13" i="13"/>
  <c r="I13" i="13"/>
  <c r="J13" i="13" s="1"/>
  <c r="H13" i="13"/>
  <c r="P12" i="13"/>
  <c r="J12" i="13"/>
  <c r="I12" i="13"/>
  <c r="H12" i="13"/>
  <c r="P11" i="13"/>
  <c r="I11" i="13"/>
  <c r="J11" i="13" s="1"/>
  <c r="H11" i="13"/>
  <c r="P10" i="13"/>
  <c r="J10" i="13"/>
  <c r="I10" i="13"/>
  <c r="H10" i="13"/>
  <c r="P9" i="13"/>
  <c r="I9" i="13"/>
  <c r="J9" i="13" s="1"/>
  <c r="H9" i="13"/>
  <c r="P8" i="13"/>
  <c r="J8" i="13"/>
  <c r="I8" i="13"/>
  <c r="H8" i="13"/>
  <c r="P7" i="13"/>
  <c r="I7" i="13"/>
  <c r="J7" i="13" s="1"/>
  <c r="H7" i="13"/>
  <c r="P6" i="13"/>
  <c r="J6" i="13"/>
  <c r="I6" i="13"/>
  <c r="H6" i="13"/>
  <c r="P5" i="13"/>
  <c r="I5" i="13"/>
  <c r="J5" i="13" s="1"/>
  <c r="H5" i="13"/>
  <c r="P4" i="13"/>
  <c r="J4" i="13"/>
  <c r="I4" i="13"/>
  <c r="H4" i="13"/>
  <c r="P3" i="13"/>
  <c r="J3" i="13"/>
  <c r="I3" i="13"/>
  <c r="H3" i="13"/>
  <c r="P2" i="13"/>
  <c r="I2" i="13"/>
  <c r="J2" i="13" s="1"/>
  <c r="H2" i="13"/>
  <c r="P3" i="12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2" i="12"/>
  <c r="J9" i="12"/>
  <c r="J17" i="12"/>
  <c r="J21" i="12"/>
  <c r="J25" i="12"/>
  <c r="J29" i="12"/>
  <c r="J33" i="12"/>
  <c r="J37" i="12"/>
  <c r="J41" i="12"/>
  <c r="J42" i="12"/>
  <c r="J45" i="12"/>
  <c r="J49" i="12"/>
  <c r="J50" i="12"/>
  <c r="J53" i="12"/>
  <c r="J57" i="12"/>
  <c r="J58" i="12"/>
  <c r="J61" i="12"/>
  <c r="J65" i="12"/>
  <c r="T57" i="12"/>
  <c r="T54" i="12" a="1"/>
  <c r="T56" i="12" s="1"/>
  <c r="I65" i="12"/>
  <c r="H65" i="12"/>
  <c r="I64" i="12"/>
  <c r="J64" i="12" s="1"/>
  <c r="H64" i="12"/>
  <c r="I63" i="12"/>
  <c r="J63" i="12" s="1"/>
  <c r="H63" i="12"/>
  <c r="I62" i="12"/>
  <c r="J62" i="12" s="1"/>
  <c r="H62" i="12"/>
  <c r="I61" i="12"/>
  <c r="H61" i="12"/>
  <c r="I60" i="12"/>
  <c r="J60" i="12" s="1"/>
  <c r="H60" i="12"/>
  <c r="I59" i="12"/>
  <c r="J59" i="12" s="1"/>
  <c r="H59" i="12"/>
  <c r="I58" i="12"/>
  <c r="H58" i="12"/>
  <c r="I57" i="12"/>
  <c r="H57" i="12"/>
  <c r="I56" i="12"/>
  <c r="J56" i="12" s="1"/>
  <c r="H56" i="12"/>
  <c r="I55" i="12"/>
  <c r="J55" i="12" s="1"/>
  <c r="H55" i="12"/>
  <c r="I54" i="12"/>
  <c r="J54" i="12" s="1"/>
  <c r="H54" i="12"/>
  <c r="I53" i="12"/>
  <c r="H53" i="12"/>
  <c r="I52" i="12"/>
  <c r="J52" i="12" s="1"/>
  <c r="H52" i="12"/>
  <c r="I51" i="12"/>
  <c r="J51" i="12" s="1"/>
  <c r="H51" i="12"/>
  <c r="I50" i="12"/>
  <c r="H50" i="12"/>
  <c r="I49" i="12"/>
  <c r="H49" i="12"/>
  <c r="I48" i="12"/>
  <c r="J48" i="12" s="1"/>
  <c r="H48" i="12"/>
  <c r="I47" i="12"/>
  <c r="J47" i="12" s="1"/>
  <c r="H47" i="12"/>
  <c r="I46" i="12"/>
  <c r="J46" i="12" s="1"/>
  <c r="H46" i="12"/>
  <c r="I45" i="12"/>
  <c r="H45" i="12"/>
  <c r="I44" i="12"/>
  <c r="J44" i="12" s="1"/>
  <c r="H44" i="12"/>
  <c r="I43" i="12"/>
  <c r="J43" i="12" s="1"/>
  <c r="H43" i="12"/>
  <c r="I42" i="12"/>
  <c r="H42" i="12"/>
  <c r="I41" i="12"/>
  <c r="H41" i="12"/>
  <c r="I40" i="12"/>
  <c r="J40" i="12" s="1"/>
  <c r="H40" i="12"/>
  <c r="I39" i="12"/>
  <c r="J39" i="12" s="1"/>
  <c r="H39" i="12"/>
  <c r="I38" i="12"/>
  <c r="J38" i="12" s="1"/>
  <c r="H38" i="12"/>
  <c r="I37" i="12"/>
  <c r="H37" i="12"/>
  <c r="I36" i="12"/>
  <c r="J36" i="12" s="1"/>
  <c r="H36" i="12"/>
  <c r="I35" i="12"/>
  <c r="J35" i="12" s="1"/>
  <c r="H35" i="12"/>
  <c r="I34" i="12"/>
  <c r="J34" i="12" s="1"/>
  <c r="H34" i="12"/>
  <c r="I33" i="12"/>
  <c r="H33" i="12"/>
  <c r="I32" i="12"/>
  <c r="J32" i="12" s="1"/>
  <c r="H32" i="12"/>
  <c r="I31" i="12"/>
  <c r="J31" i="12" s="1"/>
  <c r="H31" i="12"/>
  <c r="I30" i="12"/>
  <c r="J30" i="12" s="1"/>
  <c r="H30" i="12"/>
  <c r="I29" i="12"/>
  <c r="H29" i="12"/>
  <c r="I28" i="12"/>
  <c r="J28" i="12" s="1"/>
  <c r="H28" i="12"/>
  <c r="I27" i="12"/>
  <c r="J27" i="12" s="1"/>
  <c r="H27" i="12"/>
  <c r="I26" i="12"/>
  <c r="J26" i="12" s="1"/>
  <c r="H26" i="12"/>
  <c r="I25" i="12"/>
  <c r="H25" i="12"/>
  <c r="I24" i="12"/>
  <c r="J24" i="12" s="1"/>
  <c r="H24" i="12"/>
  <c r="I23" i="12"/>
  <c r="J23" i="12" s="1"/>
  <c r="H23" i="12"/>
  <c r="I22" i="12"/>
  <c r="J22" i="12" s="1"/>
  <c r="H22" i="12"/>
  <c r="I21" i="12"/>
  <c r="H21" i="12"/>
  <c r="I20" i="12"/>
  <c r="J20" i="12" s="1"/>
  <c r="H20" i="12"/>
  <c r="I19" i="12"/>
  <c r="J19" i="12" s="1"/>
  <c r="H19" i="12"/>
  <c r="I18" i="12"/>
  <c r="J18" i="12" s="1"/>
  <c r="H18" i="12"/>
  <c r="I17" i="12"/>
  <c r="H17" i="12"/>
  <c r="I16" i="12"/>
  <c r="J16" i="12" s="1"/>
  <c r="H16" i="12"/>
  <c r="I15" i="12"/>
  <c r="J15" i="12" s="1"/>
  <c r="H15" i="12"/>
  <c r="I14" i="12"/>
  <c r="J14" i="12" s="1"/>
  <c r="O15" i="12" s="1"/>
  <c r="L3" i="12" s="1"/>
  <c r="H14" i="12"/>
  <c r="I13" i="12"/>
  <c r="J13" i="12" s="1"/>
  <c r="H13" i="12"/>
  <c r="I12" i="12"/>
  <c r="J12" i="12" s="1"/>
  <c r="H12" i="12"/>
  <c r="I11" i="12"/>
  <c r="J11" i="12" s="1"/>
  <c r="H11" i="12"/>
  <c r="I10" i="12"/>
  <c r="J10" i="12" s="1"/>
  <c r="H10" i="12"/>
  <c r="I9" i="12"/>
  <c r="H9" i="12"/>
  <c r="I8" i="12"/>
  <c r="J8" i="12" s="1"/>
  <c r="H8" i="12"/>
  <c r="I7" i="12"/>
  <c r="J7" i="12" s="1"/>
  <c r="H7" i="12"/>
  <c r="I6" i="12"/>
  <c r="J6" i="12" s="1"/>
  <c r="H6" i="12"/>
  <c r="I5" i="12"/>
  <c r="J5" i="12" s="1"/>
  <c r="H5" i="12"/>
  <c r="I4" i="12"/>
  <c r="J4" i="12" s="1"/>
  <c r="H4" i="12"/>
  <c r="I3" i="12"/>
  <c r="J3" i="12" s="1"/>
  <c r="H3" i="12"/>
  <c r="I2" i="12"/>
  <c r="J2" i="12" s="1"/>
  <c r="H2" i="12"/>
  <c r="P28" i="9"/>
  <c r="N65" i="9"/>
  <c r="J65" i="9"/>
  <c r="K65" i="9" s="1"/>
  <c r="I65" i="9"/>
  <c r="L65" i="9" s="1"/>
  <c r="M65" i="9" s="1"/>
  <c r="H65" i="9"/>
  <c r="N64" i="9"/>
  <c r="J64" i="9"/>
  <c r="K64" i="9" s="1"/>
  <c r="I64" i="9"/>
  <c r="L64" i="9" s="1"/>
  <c r="M64" i="9" s="1"/>
  <c r="H64" i="9"/>
  <c r="N63" i="9"/>
  <c r="J63" i="9"/>
  <c r="K63" i="9" s="1"/>
  <c r="I63" i="9"/>
  <c r="L63" i="9" s="1"/>
  <c r="M63" i="9" s="1"/>
  <c r="H63" i="9"/>
  <c r="N62" i="9"/>
  <c r="J62" i="9"/>
  <c r="K62" i="9" s="1"/>
  <c r="I62" i="9"/>
  <c r="L62" i="9" s="1"/>
  <c r="M62" i="9" s="1"/>
  <c r="H62" i="9"/>
  <c r="N61" i="9"/>
  <c r="J61" i="9"/>
  <c r="K61" i="9" s="1"/>
  <c r="I61" i="9"/>
  <c r="L61" i="9" s="1"/>
  <c r="M61" i="9" s="1"/>
  <c r="H61" i="9"/>
  <c r="N60" i="9"/>
  <c r="L60" i="9"/>
  <c r="M60" i="9" s="1"/>
  <c r="J60" i="9"/>
  <c r="K60" i="9" s="1"/>
  <c r="I60" i="9"/>
  <c r="H60" i="9"/>
  <c r="N59" i="9"/>
  <c r="K59" i="9"/>
  <c r="J59" i="9"/>
  <c r="I59" i="9"/>
  <c r="L59" i="9" s="1"/>
  <c r="M59" i="9" s="1"/>
  <c r="H59" i="9"/>
  <c r="N58" i="9"/>
  <c r="J58" i="9"/>
  <c r="K58" i="9" s="1"/>
  <c r="I58" i="9"/>
  <c r="L58" i="9" s="1"/>
  <c r="M58" i="9" s="1"/>
  <c r="H58" i="9"/>
  <c r="N57" i="9"/>
  <c r="J57" i="9"/>
  <c r="K57" i="9" s="1"/>
  <c r="I57" i="9"/>
  <c r="L57" i="9" s="1"/>
  <c r="M57" i="9" s="1"/>
  <c r="H57" i="9"/>
  <c r="N56" i="9"/>
  <c r="J56" i="9"/>
  <c r="K56" i="9" s="1"/>
  <c r="I56" i="9"/>
  <c r="L56" i="9" s="1"/>
  <c r="M56" i="9" s="1"/>
  <c r="H56" i="9"/>
  <c r="N55" i="9"/>
  <c r="J55" i="9"/>
  <c r="K55" i="9" s="1"/>
  <c r="I55" i="9"/>
  <c r="L55" i="9" s="1"/>
  <c r="M55" i="9" s="1"/>
  <c r="H55" i="9"/>
  <c r="T56" i="9"/>
  <c r="T54" i="9" a="1"/>
  <c r="T55" i="9" s="1"/>
  <c r="N54" i="9"/>
  <c r="J54" i="9"/>
  <c r="K54" i="9" s="1"/>
  <c r="I54" i="9"/>
  <c r="L54" i="9" s="1"/>
  <c r="M54" i="9" s="1"/>
  <c r="H54" i="9"/>
  <c r="N53" i="9"/>
  <c r="J53" i="9"/>
  <c r="K53" i="9" s="1"/>
  <c r="I53" i="9"/>
  <c r="L53" i="9" s="1"/>
  <c r="M53" i="9" s="1"/>
  <c r="H53" i="9"/>
  <c r="N52" i="9"/>
  <c r="J52" i="9"/>
  <c r="K52" i="9" s="1"/>
  <c r="I52" i="9"/>
  <c r="L52" i="9" s="1"/>
  <c r="M52" i="9" s="1"/>
  <c r="H52" i="9"/>
  <c r="N51" i="9"/>
  <c r="L51" i="9"/>
  <c r="M51" i="9" s="1"/>
  <c r="J51" i="9"/>
  <c r="K51" i="9" s="1"/>
  <c r="I51" i="9"/>
  <c r="H51" i="9"/>
  <c r="N50" i="9"/>
  <c r="K50" i="9"/>
  <c r="J50" i="9"/>
  <c r="I50" i="9"/>
  <c r="L50" i="9" s="1"/>
  <c r="M50" i="9" s="1"/>
  <c r="H50" i="9"/>
  <c r="N49" i="9"/>
  <c r="J49" i="9"/>
  <c r="K49" i="9" s="1"/>
  <c r="I49" i="9"/>
  <c r="L49" i="9" s="1"/>
  <c r="M49" i="9" s="1"/>
  <c r="H49" i="9"/>
  <c r="N48" i="9"/>
  <c r="J48" i="9"/>
  <c r="K48" i="9" s="1"/>
  <c r="I48" i="9"/>
  <c r="L48" i="9" s="1"/>
  <c r="M48" i="9" s="1"/>
  <c r="H48" i="9"/>
  <c r="N47" i="9"/>
  <c r="J47" i="9"/>
  <c r="K47" i="9" s="1"/>
  <c r="I47" i="9"/>
  <c r="L47" i="9" s="1"/>
  <c r="M47" i="9" s="1"/>
  <c r="H47" i="9"/>
  <c r="N46" i="9"/>
  <c r="J46" i="9"/>
  <c r="K46" i="9" s="1"/>
  <c r="I46" i="9"/>
  <c r="L46" i="9" s="1"/>
  <c r="M46" i="9" s="1"/>
  <c r="H46" i="9"/>
  <c r="N45" i="9"/>
  <c r="J45" i="9"/>
  <c r="K45" i="9" s="1"/>
  <c r="I45" i="9"/>
  <c r="L45" i="9" s="1"/>
  <c r="M45" i="9" s="1"/>
  <c r="H45" i="9"/>
  <c r="T44" i="9"/>
  <c r="N44" i="9"/>
  <c r="J44" i="9"/>
  <c r="K44" i="9" s="1"/>
  <c r="I44" i="9"/>
  <c r="L44" i="9" s="1"/>
  <c r="M44" i="9" s="1"/>
  <c r="H44" i="9"/>
  <c r="N43" i="9"/>
  <c r="J43" i="9"/>
  <c r="K43" i="9" s="1"/>
  <c r="I43" i="9"/>
  <c r="L43" i="9" s="1"/>
  <c r="M43" i="9" s="1"/>
  <c r="H43" i="9"/>
  <c r="N42" i="9"/>
  <c r="L42" i="9"/>
  <c r="M42" i="9" s="1"/>
  <c r="J42" i="9"/>
  <c r="K42" i="9" s="1"/>
  <c r="I42" i="9"/>
  <c r="H42" i="9"/>
  <c r="N41" i="9"/>
  <c r="J41" i="9"/>
  <c r="K41" i="9" s="1"/>
  <c r="I41" i="9"/>
  <c r="L41" i="9" s="1"/>
  <c r="M41" i="9" s="1"/>
  <c r="H41" i="9"/>
  <c r="P40" i="9"/>
  <c r="N40" i="9"/>
  <c r="J40" i="9"/>
  <c r="K40" i="9" s="1"/>
  <c r="I40" i="9"/>
  <c r="L40" i="9" s="1"/>
  <c r="M40" i="9" s="1"/>
  <c r="H40" i="9"/>
  <c r="P39" i="9"/>
  <c r="N39" i="9"/>
  <c r="L39" i="9"/>
  <c r="M39" i="9" s="1"/>
  <c r="J39" i="9"/>
  <c r="K39" i="9" s="1"/>
  <c r="I39" i="9"/>
  <c r="H39" i="9"/>
  <c r="P38" i="9"/>
  <c r="N38" i="9"/>
  <c r="K38" i="9"/>
  <c r="J38" i="9"/>
  <c r="I38" i="9"/>
  <c r="L38" i="9" s="1"/>
  <c r="M38" i="9" s="1"/>
  <c r="H38" i="9"/>
  <c r="P37" i="9"/>
  <c r="N37" i="9"/>
  <c r="J37" i="9"/>
  <c r="K37" i="9" s="1"/>
  <c r="I37" i="9"/>
  <c r="L37" i="9" s="1"/>
  <c r="M37" i="9" s="1"/>
  <c r="H37" i="9"/>
  <c r="P36" i="9"/>
  <c r="N36" i="9"/>
  <c r="J36" i="9"/>
  <c r="K36" i="9" s="1"/>
  <c r="I36" i="9"/>
  <c r="L36" i="9" s="1"/>
  <c r="M36" i="9" s="1"/>
  <c r="H36" i="9"/>
  <c r="P35" i="9"/>
  <c r="N35" i="9"/>
  <c r="J35" i="9"/>
  <c r="K35" i="9" s="1"/>
  <c r="I35" i="9"/>
  <c r="L35" i="9" s="1"/>
  <c r="M35" i="9" s="1"/>
  <c r="H35" i="9"/>
  <c r="P34" i="9"/>
  <c r="N34" i="9"/>
  <c r="K34" i="9"/>
  <c r="J34" i="9"/>
  <c r="I34" i="9"/>
  <c r="L34" i="9" s="1"/>
  <c r="M34" i="9" s="1"/>
  <c r="H34" i="9"/>
  <c r="P33" i="9"/>
  <c r="N33" i="9"/>
  <c r="J33" i="9"/>
  <c r="K33" i="9" s="1"/>
  <c r="I33" i="9"/>
  <c r="L33" i="9" s="1"/>
  <c r="M33" i="9" s="1"/>
  <c r="H33" i="9"/>
  <c r="P32" i="9"/>
  <c r="N32" i="9"/>
  <c r="J32" i="9"/>
  <c r="K32" i="9" s="1"/>
  <c r="I32" i="9"/>
  <c r="L32" i="9" s="1"/>
  <c r="M32" i="9" s="1"/>
  <c r="H32" i="9"/>
  <c r="X31" i="9"/>
  <c r="U31" i="9"/>
  <c r="P31" i="9"/>
  <c r="N31" i="9"/>
  <c r="J31" i="9"/>
  <c r="K31" i="9" s="1"/>
  <c r="I31" i="9"/>
  <c r="L31" i="9" s="1"/>
  <c r="M31" i="9" s="1"/>
  <c r="H31" i="9"/>
  <c r="P30" i="9"/>
  <c r="N30" i="9"/>
  <c r="J30" i="9"/>
  <c r="K30" i="9" s="1"/>
  <c r="I30" i="9"/>
  <c r="L30" i="9" s="1"/>
  <c r="M30" i="9" s="1"/>
  <c r="H30" i="9"/>
  <c r="P29" i="9"/>
  <c r="N29" i="9"/>
  <c r="J29" i="9"/>
  <c r="K29" i="9" s="1"/>
  <c r="I29" i="9"/>
  <c r="L29" i="9" s="1"/>
  <c r="M29" i="9" s="1"/>
  <c r="H29" i="9"/>
  <c r="N28" i="9"/>
  <c r="J28" i="9"/>
  <c r="K28" i="9" s="1"/>
  <c r="I28" i="9"/>
  <c r="L28" i="9" s="1"/>
  <c r="M28" i="9" s="1"/>
  <c r="H28" i="9"/>
  <c r="N27" i="9"/>
  <c r="K27" i="9"/>
  <c r="J27" i="9"/>
  <c r="I27" i="9"/>
  <c r="L27" i="9" s="1"/>
  <c r="M27" i="9" s="1"/>
  <c r="H27" i="9"/>
  <c r="N26" i="9"/>
  <c r="J26" i="9"/>
  <c r="K26" i="9" s="1"/>
  <c r="I26" i="9"/>
  <c r="L26" i="9" s="1"/>
  <c r="M26" i="9" s="1"/>
  <c r="H26" i="9"/>
  <c r="N25" i="9"/>
  <c r="J25" i="9"/>
  <c r="K25" i="9" s="1"/>
  <c r="I25" i="9"/>
  <c r="L25" i="9" s="1"/>
  <c r="M25" i="9" s="1"/>
  <c r="H25" i="9"/>
  <c r="N24" i="9"/>
  <c r="J24" i="9"/>
  <c r="K24" i="9" s="1"/>
  <c r="I24" i="9"/>
  <c r="L24" i="9" s="1"/>
  <c r="M24" i="9" s="1"/>
  <c r="H24" i="9"/>
  <c r="Y23" i="9"/>
  <c r="N23" i="9"/>
  <c r="J23" i="9"/>
  <c r="K23" i="9" s="1"/>
  <c r="I23" i="9"/>
  <c r="L23" i="9" s="1"/>
  <c r="M23" i="9" s="1"/>
  <c r="H23" i="9"/>
  <c r="N22" i="9"/>
  <c r="J22" i="9"/>
  <c r="K22" i="9" s="1"/>
  <c r="I22" i="9"/>
  <c r="L22" i="9" s="1"/>
  <c r="M22" i="9" s="1"/>
  <c r="H22" i="9"/>
  <c r="W21" i="9"/>
  <c r="N21" i="9"/>
  <c r="J21" i="9"/>
  <c r="K21" i="9" s="1"/>
  <c r="I21" i="9"/>
  <c r="L21" i="9" s="1"/>
  <c r="M21" i="9" s="1"/>
  <c r="H21" i="9"/>
  <c r="N20" i="9"/>
  <c r="J20" i="9"/>
  <c r="K20" i="9" s="1"/>
  <c r="I20" i="9"/>
  <c r="L20" i="9" s="1"/>
  <c r="M20" i="9" s="1"/>
  <c r="H20" i="9"/>
  <c r="N19" i="9"/>
  <c r="L19" i="9"/>
  <c r="M19" i="9" s="1"/>
  <c r="J19" i="9"/>
  <c r="K19" i="9" s="1"/>
  <c r="I19" i="9"/>
  <c r="H19" i="9"/>
  <c r="N18" i="9"/>
  <c r="J18" i="9"/>
  <c r="K18" i="9" s="1"/>
  <c r="I18" i="9"/>
  <c r="L18" i="9" s="1"/>
  <c r="M18" i="9" s="1"/>
  <c r="H18" i="9"/>
  <c r="N17" i="9"/>
  <c r="J17" i="9"/>
  <c r="K17" i="9" s="1"/>
  <c r="I17" i="9"/>
  <c r="L17" i="9" s="1"/>
  <c r="M17" i="9" s="1"/>
  <c r="H17" i="9"/>
  <c r="N16" i="9"/>
  <c r="J16" i="9"/>
  <c r="K16" i="9" s="1"/>
  <c r="I16" i="9"/>
  <c r="L16" i="9" s="1"/>
  <c r="M16" i="9" s="1"/>
  <c r="H16" i="9"/>
  <c r="N15" i="9"/>
  <c r="J15" i="9"/>
  <c r="K15" i="9" s="1"/>
  <c r="I15" i="9"/>
  <c r="L15" i="9" s="1"/>
  <c r="M15" i="9" s="1"/>
  <c r="H15" i="9"/>
  <c r="N14" i="9"/>
  <c r="J14" i="9"/>
  <c r="K14" i="9" s="1"/>
  <c r="T46" i="9" s="1"/>
  <c r="X37" i="9" s="1"/>
  <c r="I14" i="9"/>
  <c r="L14" i="9" s="1"/>
  <c r="M14" i="9" s="1"/>
  <c r="H14" i="9"/>
  <c r="N13" i="9"/>
  <c r="J13" i="9"/>
  <c r="K13" i="9" s="1"/>
  <c r="I13" i="9"/>
  <c r="L13" i="9" s="1"/>
  <c r="M13" i="9" s="1"/>
  <c r="H13" i="9"/>
  <c r="N12" i="9"/>
  <c r="L12" i="9"/>
  <c r="M12" i="9" s="1"/>
  <c r="J12" i="9"/>
  <c r="K12" i="9" s="1"/>
  <c r="I12" i="9"/>
  <c r="H12" i="9"/>
  <c r="N11" i="9"/>
  <c r="J11" i="9"/>
  <c r="K11" i="9" s="1"/>
  <c r="I11" i="9"/>
  <c r="L11" i="9" s="1"/>
  <c r="M11" i="9" s="1"/>
  <c r="H11" i="9"/>
  <c r="N10" i="9"/>
  <c r="J10" i="9"/>
  <c r="K10" i="9" s="1"/>
  <c r="I10" i="9"/>
  <c r="L10" i="9" s="1"/>
  <c r="M10" i="9" s="1"/>
  <c r="H10" i="9"/>
  <c r="N9" i="9"/>
  <c r="J9" i="9"/>
  <c r="K9" i="9" s="1"/>
  <c r="I9" i="9"/>
  <c r="L9" i="9" s="1"/>
  <c r="M9" i="9" s="1"/>
  <c r="H9" i="9"/>
  <c r="N8" i="9"/>
  <c r="J8" i="9"/>
  <c r="K8" i="9" s="1"/>
  <c r="I8" i="9"/>
  <c r="L8" i="9" s="1"/>
  <c r="M8" i="9" s="1"/>
  <c r="H8" i="9"/>
  <c r="N7" i="9"/>
  <c r="L7" i="9"/>
  <c r="M7" i="9" s="1"/>
  <c r="J7" i="9"/>
  <c r="K7" i="9" s="1"/>
  <c r="I7" i="9"/>
  <c r="H7" i="9"/>
  <c r="N6" i="9"/>
  <c r="J6" i="9"/>
  <c r="K6" i="9" s="1"/>
  <c r="I6" i="9"/>
  <c r="L6" i="9" s="1"/>
  <c r="M6" i="9" s="1"/>
  <c r="H6" i="9"/>
  <c r="N5" i="9"/>
  <c r="L5" i="9"/>
  <c r="M5" i="9" s="1"/>
  <c r="J5" i="9"/>
  <c r="K5" i="9" s="1"/>
  <c r="I5" i="9"/>
  <c r="H5" i="9"/>
  <c r="N4" i="9"/>
  <c r="J4" i="9"/>
  <c r="K4" i="9" s="1"/>
  <c r="I4" i="9"/>
  <c r="L4" i="9" s="1"/>
  <c r="M4" i="9" s="1"/>
  <c r="H4" i="9"/>
  <c r="N3" i="9"/>
  <c r="J3" i="9"/>
  <c r="K3" i="9" s="1"/>
  <c r="I3" i="9"/>
  <c r="L3" i="9" s="1"/>
  <c r="M3" i="9" s="1"/>
  <c r="H3" i="9"/>
  <c r="N2" i="9"/>
  <c r="J2" i="9"/>
  <c r="K2" i="9" s="1"/>
  <c r="I2" i="9"/>
  <c r="L2" i="9" s="1"/>
  <c r="M2" i="9" s="1"/>
  <c r="H2" i="9"/>
  <c r="L3" i="3"/>
  <c r="M3" i="3" s="1"/>
  <c r="L4" i="3"/>
  <c r="M4" i="3" s="1"/>
  <c r="L5" i="3"/>
  <c r="M5" i="3" s="1"/>
  <c r="L6" i="3"/>
  <c r="M6" i="3" s="1"/>
  <c r="L7" i="3"/>
  <c r="M7" i="3" s="1"/>
  <c r="L8" i="3"/>
  <c r="M8" i="3" s="1"/>
  <c r="L9" i="3"/>
  <c r="M9" i="3" s="1"/>
  <c r="L10" i="3"/>
  <c r="M10" i="3" s="1"/>
  <c r="L11" i="3"/>
  <c r="M11" i="3" s="1"/>
  <c r="L12" i="3"/>
  <c r="M12" i="3" s="1"/>
  <c r="L13" i="3"/>
  <c r="M13" i="3" s="1"/>
  <c r="L14" i="3"/>
  <c r="M14" i="3" s="1"/>
  <c r="L15" i="3"/>
  <c r="M15" i="3" s="1"/>
  <c r="L16" i="3"/>
  <c r="M16" i="3" s="1"/>
  <c r="L17" i="3"/>
  <c r="M17" i="3" s="1"/>
  <c r="L18" i="3"/>
  <c r="M18" i="3" s="1"/>
  <c r="L19" i="3"/>
  <c r="M19" i="3" s="1"/>
  <c r="L20" i="3"/>
  <c r="M20" i="3" s="1"/>
  <c r="L21" i="3"/>
  <c r="M21" i="3" s="1"/>
  <c r="L22" i="3"/>
  <c r="M22" i="3" s="1"/>
  <c r="L23" i="3"/>
  <c r="M23" i="3" s="1"/>
  <c r="L24" i="3"/>
  <c r="M24" i="3" s="1"/>
  <c r="L25" i="3"/>
  <c r="M25" i="3" s="1"/>
  <c r="L26" i="3"/>
  <c r="M26" i="3" s="1"/>
  <c r="L27" i="3"/>
  <c r="M27" i="3" s="1"/>
  <c r="L28" i="3"/>
  <c r="M28" i="3" s="1"/>
  <c r="L29" i="3"/>
  <c r="M29" i="3" s="1"/>
  <c r="L30" i="3"/>
  <c r="M30" i="3" s="1"/>
  <c r="L31" i="3"/>
  <c r="M31" i="3" s="1"/>
  <c r="L32" i="3"/>
  <c r="M32" i="3" s="1"/>
  <c r="L33" i="3"/>
  <c r="M33" i="3" s="1"/>
  <c r="L34" i="3"/>
  <c r="M34" i="3" s="1"/>
  <c r="L35" i="3"/>
  <c r="M35" i="3" s="1"/>
  <c r="L36" i="3"/>
  <c r="M36" i="3" s="1"/>
  <c r="L37" i="3"/>
  <c r="M37" i="3" s="1"/>
  <c r="L38" i="3"/>
  <c r="M38" i="3" s="1"/>
  <c r="L39" i="3"/>
  <c r="M39" i="3" s="1"/>
  <c r="L40" i="3"/>
  <c r="M40" i="3" s="1"/>
  <c r="L41" i="3"/>
  <c r="M41" i="3" s="1"/>
  <c r="L42" i="3"/>
  <c r="M42" i="3" s="1"/>
  <c r="L43" i="3"/>
  <c r="M43" i="3" s="1"/>
  <c r="L44" i="3"/>
  <c r="M44" i="3" s="1"/>
  <c r="L45" i="3"/>
  <c r="M45" i="3" s="1"/>
  <c r="L46" i="3"/>
  <c r="M46" i="3" s="1"/>
  <c r="L47" i="3"/>
  <c r="M47" i="3" s="1"/>
  <c r="L48" i="3"/>
  <c r="M48" i="3" s="1"/>
  <c r="L49" i="3"/>
  <c r="M49" i="3" s="1"/>
  <c r="L50" i="3"/>
  <c r="M50" i="3" s="1"/>
  <c r="L51" i="3"/>
  <c r="M51" i="3" s="1"/>
  <c r="L52" i="3"/>
  <c r="M52" i="3" s="1"/>
  <c r="L53" i="3"/>
  <c r="M53" i="3" s="1"/>
  <c r="L54" i="3"/>
  <c r="M54" i="3" s="1"/>
  <c r="L55" i="3"/>
  <c r="M55" i="3" s="1"/>
  <c r="L56" i="3"/>
  <c r="M56" i="3" s="1"/>
  <c r="L57" i="3"/>
  <c r="M57" i="3" s="1"/>
  <c r="L58" i="3"/>
  <c r="M58" i="3" s="1"/>
  <c r="L59" i="3"/>
  <c r="M59" i="3" s="1"/>
  <c r="L60" i="3"/>
  <c r="M60" i="3" s="1"/>
  <c r="L61" i="3"/>
  <c r="M61" i="3" s="1"/>
  <c r="L62" i="3"/>
  <c r="M62" i="3" s="1"/>
  <c r="L63" i="3"/>
  <c r="M63" i="3" s="1"/>
  <c r="L64" i="3"/>
  <c r="M64" i="3" s="1"/>
  <c r="L65" i="3"/>
  <c r="M65" i="3" s="1"/>
  <c r="L2" i="3"/>
  <c r="M2" i="3" s="1"/>
  <c r="N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9" i="3"/>
  <c r="N10" i="3"/>
  <c r="N11" i="3"/>
  <c r="N12" i="3"/>
  <c r="N3" i="3"/>
  <c r="N4" i="3"/>
  <c r="N5" i="3"/>
  <c r="N6" i="3"/>
  <c r="N7" i="3"/>
  <c r="N8" i="3"/>
  <c r="P29" i="3"/>
  <c r="P30" i="3"/>
  <c r="P31" i="3"/>
  <c r="P32" i="3"/>
  <c r="P33" i="3"/>
  <c r="P34" i="3"/>
  <c r="P35" i="3"/>
  <c r="P36" i="3"/>
  <c r="P37" i="3"/>
  <c r="P38" i="3"/>
  <c r="P39" i="3"/>
  <c r="P40" i="3"/>
  <c r="P28" i="3"/>
  <c r="X31" i="3"/>
  <c r="U31" i="3"/>
  <c r="Y23" i="3"/>
  <c r="W21" i="3"/>
  <c r="T54" i="3" a="1"/>
  <c r="T54" i="3" s="1"/>
  <c r="P54" i="7"/>
  <c r="J65" i="7"/>
  <c r="K65" i="7" s="1"/>
  <c r="I65" i="7"/>
  <c r="H65" i="7"/>
  <c r="J64" i="7"/>
  <c r="K64" i="7" s="1"/>
  <c r="I64" i="7"/>
  <c r="H64" i="7"/>
  <c r="J63" i="7"/>
  <c r="K63" i="7" s="1"/>
  <c r="I63" i="7"/>
  <c r="H63" i="7"/>
  <c r="J62" i="7"/>
  <c r="K62" i="7" s="1"/>
  <c r="I62" i="7"/>
  <c r="H62" i="7"/>
  <c r="J61" i="7"/>
  <c r="K61" i="7" s="1"/>
  <c r="I61" i="7"/>
  <c r="H61" i="7"/>
  <c r="J60" i="7"/>
  <c r="K60" i="7" s="1"/>
  <c r="I60" i="7"/>
  <c r="H60" i="7"/>
  <c r="J59" i="7"/>
  <c r="K59" i="7" s="1"/>
  <c r="I59" i="7"/>
  <c r="H59" i="7"/>
  <c r="J58" i="7"/>
  <c r="K58" i="7" s="1"/>
  <c r="I58" i="7"/>
  <c r="H58" i="7"/>
  <c r="J57" i="7"/>
  <c r="K57" i="7" s="1"/>
  <c r="I57" i="7"/>
  <c r="H57" i="7"/>
  <c r="J56" i="7"/>
  <c r="K56" i="7" s="1"/>
  <c r="I56" i="7"/>
  <c r="H56" i="7"/>
  <c r="J55" i="7"/>
  <c r="K55" i="7" s="1"/>
  <c r="I55" i="7"/>
  <c r="H55" i="7"/>
  <c r="J54" i="7"/>
  <c r="K54" i="7" s="1"/>
  <c r="I54" i="7"/>
  <c r="H54" i="7"/>
  <c r="J53" i="7"/>
  <c r="K53" i="7" s="1"/>
  <c r="I53" i="7"/>
  <c r="H53" i="7"/>
  <c r="J52" i="7"/>
  <c r="K52" i="7" s="1"/>
  <c r="I52" i="7"/>
  <c r="H52" i="7"/>
  <c r="J51" i="7"/>
  <c r="K51" i="7" s="1"/>
  <c r="I51" i="7"/>
  <c r="H51" i="7"/>
  <c r="J50" i="7"/>
  <c r="K50" i="7" s="1"/>
  <c r="I50" i="7"/>
  <c r="H50" i="7"/>
  <c r="J49" i="7"/>
  <c r="K49" i="7" s="1"/>
  <c r="I49" i="7"/>
  <c r="H49" i="7"/>
  <c r="J48" i="7"/>
  <c r="K48" i="7" s="1"/>
  <c r="I48" i="7"/>
  <c r="H48" i="7"/>
  <c r="J47" i="7"/>
  <c r="K47" i="7" s="1"/>
  <c r="I47" i="7"/>
  <c r="H47" i="7"/>
  <c r="J46" i="7"/>
  <c r="K46" i="7" s="1"/>
  <c r="I46" i="7"/>
  <c r="H46" i="7"/>
  <c r="J45" i="7"/>
  <c r="K45" i="7" s="1"/>
  <c r="I45" i="7"/>
  <c r="H45" i="7"/>
  <c r="P44" i="7"/>
  <c r="J44" i="7"/>
  <c r="K44" i="7" s="1"/>
  <c r="I44" i="7"/>
  <c r="H44" i="7"/>
  <c r="J43" i="7"/>
  <c r="K43" i="7" s="1"/>
  <c r="I43" i="7"/>
  <c r="H43" i="7"/>
  <c r="J42" i="7"/>
  <c r="K42" i="7" s="1"/>
  <c r="I42" i="7"/>
  <c r="H42" i="7"/>
  <c r="J41" i="7"/>
  <c r="K41" i="7" s="1"/>
  <c r="I41" i="7"/>
  <c r="H41" i="7"/>
  <c r="J40" i="7"/>
  <c r="K40" i="7" s="1"/>
  <c r="I40" i="7"/>
  <c r="H40" i="7"/>
  <c r="J39" i="7"/>
  <c r="K39" i="7" s="1"/>
  <c r="I39" i="7"/>
  <c r="H39" i="7"/>
  <c r="J38" i="7"/>
  <c r="K38" i="7" s="1"/>
  <c r="I38" i="7"/>
  <c r="H38" i="7"/>
  <c r="J37" i="7"/>
  <c r="K37" i="7" s="1"/>
  <c r="I37" i="7"/>
  <c r="H37" i="7"/>
  <c r="J36" i="7"/>
  <c r="K36" i="7" s="1"/>
  <c r="I36" i="7"/>
  <c r="H36" i="7"/>
  <c r="J35" i="7"/>
  <c r="K35" i="7" s="1"/>
  <c r="I35" i="7"/>
  <c r="H35" i="7"/>
  <c r="J34" i="7"/>
  <c r="K34" i="7" s="1"/>
  <c r="I34" i="7"/>
  <c r="H34" i="7"/>
  <c r="J33" i="7"/>
  <c r="K33" i="7" s="1"/>
  <c r="I33" i="7"/>
  <c r="H33" i="7"/>
  <c r="J32" i="7"/>
  <c r="K32" i="7" s="1"/>
  <c r="I32" i="7"/>
  <c r="H32" i="7"/>
  <c r="J31" i="7"/>
  <c r="K31" i="7" s="1"/>
  <c r="I31" i="7"/>
  <c r="H31" i="7"/>
  <c r="J30" i="7"/>
  <c r="K30" i="7" s="1"/>
  <c r="I30" i="7"/>
  <c r="H30" i="7"/>
  <c r="J29" i="7"/>
  <c r="K29" i="7" s="1"/>
  <c r="I29" i="7"/>
  <c r="H29" i="7"/>
  <c r="J28" i="7"/>
  <c r="K28" i="7" s="1"/>
  <c r="I28" i="7"/>
  <c r="H28" i="7"/>
  <c r="J27" i="7"/>
  <c r="K27" i="7" s="1"/>
  <c r="I27" i="7"/>
  <c r="H27" i="7"/>
  <c r="J26" i="7"/>
  <c r="K26" i="7" s="1"/>
  <c r="I26" i="7"/>
  <c r="H26" i="7"/>
  <c r="J25" i="7"/>
  <c r="K25" i="7" s="1"/>
  <c r="I25" i="7"/>
  <c r="H25" i="7"/>
  <c r="J24" i="7"/>
  <c r="K24" i="7" s="1"/>
  <c r="I24" i="7"/>
  <c r="H24" i="7"/>
  <c r="J23" i="7"/>
  <c r="K23" i="7" s="1"/>
  <c r="I23" i="7"/>
  <c r="H23" i="7"/>
  <c r="J22" i="7"/>
  <c r="K22" i="7" s="1"/>
  <c r="I22" i="7"/>
  <c r="H22" i="7"/>
  <c r="J21" i="7"/>
  <c r="K21" i="7" s="1"/>
  <c r="I21" i="7"/>
  <c r="H21" i="7"/>
  <c r="J20" i="7"/>
  <c r="K20" i="7" s="1"/>
  <c r="I20" i="7"/>
  <c r="H20" i="7"/>
  <c r="J19" i="7"/>
  <c r="K19" i="7" s="1"/>
  <c r="I19" i="7"/>
  <c r="H19" i="7"/>
  <c r="J18" i="7"/>
  <c r="K18" i="7" s="1"/>
  <c r="I18" i="7"/>
  <c r="H18" i="7"/>
  <c r="J17" i="7"/>
  <c r="K17" i="7" s="1"/>
  <c r="I17" i="7"/>
  <c r="H17" i="7"/>
  <c r="J16" i="7"/>
  <c r="K16" i="7" s="1"/>
  <c r="I16" i="7"/>
  <c r="H16" i="7"/>
  <c r="J15" i="7"/>
  <c r="K15" i="7" s="1"/>
  <c r="I15" i="7"/>
  <c r="H15" i="7"/>
  <c r="J14" i="7"/>
  <c r="K14" i="7" s="1"/>
  <c r="P46" i="7" s="1"/>
  <c r="T37" i="7" s="1"/>
  <c r="I14" i="7"/>
  <c r="H14" i="7"/>
  <c r="J13" i="7"/>
  <c r="K13" i="7" s="1"/>
  <c r="I13" i="7"/>
  <c r="H13" i="7"/>
  <c r="J12" i="7"/>
  <c r="K12" i="7" s="1"/>
  <c r="I12" i="7"/>
  <c r="H12" i="7"/>
  <c r="J11" i="7"/>
  <c r="K11" i="7" s="1"/>
  <c r="I11" i="7"/>
  <c r="H11" i="7"/>
  <c r="J10" i="7"/>
  <c r="K10" i="7" s="1"/>
  <c r="I10" i="7"/>
  <c r="H10" i="7"/>
  <c r="J9" i="7"/>
  <c r="K9" i="7" s="1"/>
  <c r="I9" i="7"/>
  <c r="H9" i="7"/>
  <c r="J8" i="7"/>
  <c r="K8" i="7" s="1"/>
  <c r="I8" i="7"/>
  <c r="H8" i="7"/>
  <c r="J7" i="7"/>
  <c r="K7" i="7" s="1"/>
  <c r="I7" i="7"/>
  <c r="H7" i="7"/>
  <c r="J6" i="7"/>
  <c r="K6" i="7" s="1"/>
  <c r="I6" i="7"/>
  <c r="H6" i="7"/>
  <c r="J5" i="7"/>
  <c r="K5" i="7" s="1"/>
  <c r="I5" i="7"/>
  <c r="H5" i="7"/>
  <c r="J4" i="7"/>
  <c r="K4" i="7" s="1"/>
  <c r="I4" i="7"/>
  <c r="H4" i="7"/>
  <c r="J3" i="7"/>
  <c r="K3" i="7" s="1"/>
  <c r="I3" i="7"/>
  <c r="H3" i="7"/>
  <c r="J2" i="7"/>
  <c r="K2" i="7" s="1"/>
  <c r="I2" i="7"/>
  <c r="H2" i="7"/>
  <c r="T44" i="3"/>
  <c r="K3" i="3"/>
  <c r="K4" i="3"/>
  <c r="K5" i="3"/>
  <c r="K7" i="3"/>
  <c r="K8" i="3"/>
  <c r="K9" i="3"/>
  <c r="K11" i="3"/>
  <c r="K12" i="3"/>
  <c r="K13" i="3"/>
  <c r="K15" i="3"/>
  <c r="K16" i="3"/>
  <c r="K17" i="3"/>
  <c r="K19" i="3"/>
  <c r="K20" i="3"/>
  <c r="K21" i="3"/>
  <c r="K23" i="3"/>
  <c r="K24" i="3"/>
  <c r="K25" i="3"/>
  <c r="K27" i="3"/>
  <c r="K28" i="3"/>
  <c r="K29" i="3"/>
  <c r="K31" i="3"/>
  <c r="K32" i="3"/>
  <c r="K33" i="3"/>
  <c r="K35" i="3"/>
  <c r="K36" i="3"/>
  <c r="K37" i="3"/>
  <c r="K39" i="3"/>
  <c r="K40" i="3"/>
  <c r="K41" i="3"/>
  <c r="K43" i="3"/>
  <c r="K44" i="3"/>
  <c r="K45" i="3"/>
  <c r="K47" i="3"/>
  <c r="K48" i="3"/>
  <c r="K49" i="3"/>
  <c r="K51" i="3"/>
  <c r="K52" i="3"/>
  <c r="K53" i="3"/>
  <c r="K55" i="3"/>
  <c r="K56" i="3"/>
  <c r="K57" i="3"/>
  <c r="K59" i="3"/>
  <c r="K60" i="3"/>
  <c r="K61" i="3"/>
  <c r="K63" i="3"/>
  <c r="K64" i="3"/>
  <c r="K65" i="3"/>
  <c r="J3" i="3"/>
  <c r="J4" i="3"/>
  <c r="J5" i="3"/>
  <c r="J6" i="3"/>
  <c r="K6" i="3" s="1"/>
  <c r="J7" i="3"/>
  <c r="J8" i="3"/>
  <c r="J9" i="3"/>
  <c r="J10" i="3"/>
  <c r="K10" i="3" s="1"/>
  <c r="J11" i="3"/>
  <c r="J12" i="3"/>
  <c r="J13" i="3"/>
  <c r="J14" i="3"/>
  <c r="K14" i="3" s="1"/>
  <c r="T46" i="3" s="1"/>
  <c r="X37" i="3" s="1"/>
  <c r="J15" i="3"/>
  <c r="J16" i="3"/>
  <c r="J17" i="3"/>
  <c r="J18" i="3"/>
  <c r="K18" i="3" s="1"/>
  <c r="J19" i="3"/>
  <c r="J20" i="3"/>
  <c r="J21" i="3"/>
  <c r="J22" i="3"/>
  <c r="K22" i="3" s="1"/>
  <c r="J23" i="3"/>
  <c r="J24" i="3"/>
  <c r="J25" i="3"/>
  <c r="J26" i="3"/>
  <c r="K26" i="3" s="1"/>
  <c r="J27" i="3"/>
  <c r="J28" i="3"/>
  <c r="J29" i="3"/>
  <c r="J30" i="3"/>
  <c r="K30" i="3" s="1"/>
  <c r="J31" i="3"/>
  <c r="J32" i="3"/>
  <c r="J33" i="3"/>
  <c r="J34" i="3"/>
  <c r="K34" i="3" s="1"/>
  <c r="J35" i="3"/>
  <c r="J36" i="3"/>
  <c r="J37" i="3"/>
  <c r="J38" i="3"/>
  <c r="K38" i="3" s="1"/>
  <c r="J39" i="3"/>
  <c r="J40" i="3"/>
  <c r="J41" i="3"/>
  <c r="J42" i="3"/>
  <c r="K42" i="3" s="1"/>
  <c r="J43" i="3"/>
  <c r="J44" i="3"/>
  <c r="J45" i="3"/>
  <c r="J46" i="3"/>
  <c r="K46" i="3" s="1"/>
  <c r="J47" i="3"/>
  <c r="J48" i="3"/>
  <c r="J49" i="3"/>
  <c r="J50" i="3"/>
  <c r="K50" i="3" s="1"/>
  <c r="J51" i="3"/>
  <c r="J52" i="3"/>
  <c r="J53" i="3"/>
  <c r="J54" i="3"/>
  <c r="K54" i="3" s="1"/>
  <c r="J55" i="3"/>
  <c r="J56" i="3"/>
  <c r="J57" i="3"/>
  <c r="J58" i="3"/>
  <c r="K58" i="3" s="1"/>
  <c r="J59" i="3"/>
  <c r="J60" i="3"/>
  <c r="J61" i="3"/>
  <c r="J62" i="3"/>
  <c r="K62" i="3" s="1"/>
  <c r="J63" i="3"/>
  <c r="J64" i="3"/>
  <c r="J65" i="3"/>
  <c r="J2" i="3"/>
  <c r="K2" i="3" s="1"/>
  <c r="O15" i="13" l="1"/>
  <c r="L3" i="13" s="1"/>
  <c r="T57" i="13"/>
  <c r="T58" i="12"/>
  <c r="T55" i="12"/>
  <c r="T54" i="12"/>
  <c r="V10" i="9"/>
  <c r="AE6" i="9" s="1"/>
  <c r="T57" i="9"/>
  <c r="T58" i="9"/>
  <c r="T54" i="9"/>
  <c r="V10" i="3"/>
  <c r="AE6" i="3" s="1"/>
  <c r="T56" i="3"/>
  <c r="T57" i="3"/>
  <c r="T55" i="3"/>
  <c r="T58" i="3"/>
  <c r="P53" i="7"/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2" i="3"/>
</calcChain>
</file>

<file path=xl/sharedStrings.xml><?xml version="1.0" encoding="utf-8"?>
<sst xmlns="http://schemas.openxmlformats.org/spreadsheetml/2006/main" count="881" uniqueCount="127">
  <si>
    <t>מתכת מעיין</t>
  </si>
  <si>
    <t>אור הצפון</t>
  </si>
  <si>
    <t>אבישי תמרוקים</t>
  </si>
  <si>
    <t>א.ש.ד. תרדיון</t>
  </si>
  <si>
    <t>אפרוחי פלא</t>
  </si>
  <si>
    <t>און הצפון בע"מ</t>
  </si>
  <si>
    <t>אלון דלק לישראל</t>
  </si>
  <si>
    <t>אגרידרה</t>
  </si>
  <si>
    <t>אמישרגז בע"מ</t>
  </si>
  <si>
    <t>א.שיווק</t>
  </si>
  <si>
    <t>אלון יעקב בע"מ</t>
  </si>
  <si>
    <t>אברך אלון ג'י בע"מ</t>
  </si>
  <si>
    <t>אופטיד בע"מ</t>
  </si>
  <si>
    <t>אופטיקה צפון</t>
  </si>
  <si>
    <t>א.מ סוכנויות ושיווק</t>
  </si>
  <si>
    <t>אפרוחי נשר בע"מ</t>
  </si>
  <si>
    <t>אל חיים</t>
  </si>
  <si>
    <t>אפרת-רביית פטם שו'ת מוגבלת</t>
  </si>
  <si>
    <t>אורי פתרונות לול בע"מ</t>
  </si>
  <si>
    <t>ארגון מגדלי עופות בישראל</t>
  </si>
  <si>
    <t>אחים אסנין</t>
  </si>
  <si>
    <t>אופטיקה הלפרין בע"מ</t>
  </si>
  <si>
    <t>אשל שירותים וטרינריים בע"מ</t>
  </si>
  <si>
    <t>אינטרקוסמא</t>
  </si>
  <si>
    <t>א.ג מספק הגליל</t>
  </si>
  <si>
    <t>אירגון עובדי הפלחה</t>
  </si>
  <si>
    <t>אלפינית</t>
  </si>
  <si>
    <t>אלישע את חיים</t>
  </si>
  <si>
    <t>אוריינט אקספרס</t>
  </si>
  <si>
    <t>לוריאל ישראל בע"מ-אינטרביוטי</t>
  </si>
  <si>
    <t>אירגון עובדי המים</t>
  </si>
  <si>
    <t>אוסם והחברות השלובות</t>
  </si>
  <si>
    <t>אקולאב-זהר דליה שו'ת מוגבלת</t>
  </si>
  <si>
    <t>א.מ.י  ( אפרוחי משואות יצחק)</t>
  </si>
  <si>
    <t>א.פ.י חורי הפצה בע"מ</t>
  </si>
  <si>
    <t>ביכורי השדה הדרום שיווק תוצרת חקלאית (2002) בע"מ</t>
  </si>
  <si>
    <t>ברברה וולף בע"מ</t>
  </si>
  <si>
    <t>בלו סקאי שיווק 2004 בע"מ</t>
  </si>
  <si>
    <t>בראון י.ובניו אפרוחים</t>
  </si>
  <si>
    <t>בונן קור</t>
  </si>
  <si>
    <t>בני משה ביטון</t>
  </si>
  <si>
    <t>ברזילאי-יבוא ושיווק למספרות בע"מ</t>
  </si>
  <si>
    <t>בנדא מגנטיק בע"מ</t>
  </si>
  <si>
    <t>בורקס הכפר בע"מ יבניאל</t>
  </si>
  <si>
    <t>גיאטקס בע"מ</t>
  </si>
  <si>
    <t>אמיר גוארי</t>
  </si>
  <si>
    <t>גורי עצמון שניר</t>
  </si>
  <si>
    <t>גיא-אוני-שרותי חקלאות בע"מ</t>
  </si>
  <si>
    <t>גלפלסט בע"מ</t>
  </si>
  <si>
    <t>פלאח גבאן ובניו</t>
  </si>
  <si>
    <t>סלאח מחמוד גבאן</t>
  </si>
  <si>
    <t>גבן דאיס ובניו-שרותי לול</t>
  </si>
  <si>
    <t>גרין משה-משק חקלאי</t>
  </si>
  <si>
    <t>גטר פוטו בע"מ</t>
  </si>
  <si>
    <t>גלידות שטראוס</t>
  </si>
  <si>
    <t>גבן סלימן בע"מ</t>
  </si>
  <si>
    <t>ג. ויליפוד אינטרנשונאל בע"מ</t>
  </si>
  <si>
    <t>גבעת עוז</t>
  </si>
  <si>
    <t>גלידות החרמון</t>
  </si>
  <si>
    <t>גת גבעת חיים</t>
  </si>
  <si>
    <t>דור גז</t>
  </si>
  <si>
    <t>העברה בנקאית</t>
  </si>
  <si>
    <t>מס"ב</t>
  </si>
  <si>
    <t>צ'קים</t>
  </si>
  <si>
    <t>מזומן</t>
  </si>
  <si>
    <t>אבישי מזון</t>
  </si>
  <si>
    <t>אלקטרו חבש</t>
  </si>
  <si>
    <t>חקלאי גבעת חיים</t>
  </si>
  <si>
    <t>תל אביב</t>
  </si>
  <si>
    <t>ירושלים</t>
  </si>
  <si>
    <t>חיפה</t>
  </si>
  <si>
    <t>ראשון לציון</t>
  </si>
  <si>
    <t>נהריה</t>
  </si>
  <si>
    <t>נתניה</t>
  </si>
  <si>
    <t>הרצליה</t>
  </si>
  <si>
    <t>חדרה</t>
  </si>
  <si>
    <t>אשקלון</t>
  </si>
  <si>
    <t>קרית שמונה</t>
  </si>
  <si>
    <t>באר שבע</t>
  </si>
  <si>
    <t>אילת</t>
  </si>
  <si>
    <t>רמת גן</t>
  </si>
  <si>
    <t>ת"ז</t>
  </si>
  <si>
    <t>מרצה</t>
  </si>
  <si>
    <t>יום לימוד</t>
  </si>
  <si>
    <t>שעת לימוד</t>
  </si>
  <si>
    <t xml:space="preserve">מעבדת מבחן </t>
  </si>
  <si>
    <t>עיר מגורים</t>
  </si>
  <si>
    <t>שם לקוח</t>
  </si>
  <si>
    <t>תאריך התחלה</t>
  </si>
  <si>
    <t>קוד אמצעי תשלום</t>
  </si>
  <si>
    <t>קוד הנחה</t>
  </si>
  <si>
    <t>סך פדיון מהלקוח  בש"ח בשנת 2017</t>
  </si>
  <si>
    <t>מספר לקוח</t>
  </si>
  <si>
    <t>שם אמצעי תשלום</t>
  </si>
  <si>
    <t xml:space="preserve">שם אמצעי תשלום </t>
  </si>
  <si>
    <t xml:space="preserve">הנחה בש׳׳ח </t>
  </si>
  <si>
    <t>שנה</t>
  </si>
  <si>
    <t>אחוז הנחה</t>
  </si>
  <si>
    <t>אפשרות נוספת לסעיף ב׳</t>
  </si>
  <si>
    <t>שער דולר</t>
  </si>
  <si>
    <t xml:space="preserve">סה׳׳כ פדיון בדולר + תנאים: </t>
  </si>
  <si>
    <t>סה׳׳כ פדיון מלקוחות בדולר בשנת 2017</t>
  </si>
  <si>
    <t xml:space="preserve">סה׳׳כ: </t>
  </si>
  <si>
    <t>סעיף ב׳</t>
  </si>
  <si>
    <t>שאלה: 1</t>
  </si>
  <si>
    <t>שאלה: 2</t>
  </si>
  <si>
    <t>סעיף א׳</t>
  </si>
  <si>
    <t>סעיף ג׳</t>
  </si>
  <si>
    <t xml:space="preserve">שאלה:2 </t>
  </si>
  <si>
    <t>סעיף ד׳</t>
  </si>
  <si>
    <t xml:space="preserve">תשובה: </t>
  </si>
  <si>
    <t>סכום רצוי</t>
  </si>
  <si>
    <t xml:space="preserve">תאריך חידוש הסכם לקוח </t>
  </si>
  <si>
    <t>הסכם בתוקף</t>
  </si>
  <si>
    <t>שאלה: 3</t>
  </si>
  <si>
    <t>חודש החידוש</t>
  </si>
  <si>
    <t>א*</t>
  </si>
  <si>
    <t>שאלה: 4</t>
  </si>
  <si>
    <t>שאלה: 5</t>
  </si>
  <si>
    <t>ממוצע פדיון בש׳׳ח</t>
  </si>
  <si>
    <t>תשובה לסעיף ב שאלה 2</t>
  </si>
  <si>
    <t>סעיף ד</t>
  </si>
  <si>
    <t>תא עזר לשער הדולר</t>
  </si>
  <si>
    <t>שנת התחלה</t>
  </si>
  <si>
    <t>תנאים לשאלה 2 ב</t>
  </si>
  <si>
    <t>סעיף 2 ב</t>
  </si>
  <si>
    <t>סעיף 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</si>
</sst>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_-* #,##0.00_₪_-;\-* #,##0.00_₪_-;_-* &quot;-&quot;??_₪_-;_-@_-"/>
    <numFmt numFmtId="166" formatCode="_-[$$-409]* #,##0.00_ ;_-[$$-409]* \-#,##0.00\ ;_-[$$-409]* &quot;-&quot;??_ ;_-@_ "/>
  </numFmts>
  <fonts count="9" x14ac:knownFonts="1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0"/>
      <name val="David"/>
      <family val="2"/>
    </font>
    <font>
      <b/>
      <sz val="11"/>
      <name val="David"/>
      <family val="2"/>
    </font>
    <font>
      <sz val="11"/>
      <name val="David"/>
      <family val="2"/>
    </font>
    <font>
      <sz val="10"/>
      <name val="Arial"/>
      <family val="2"/>
    </font>
    <font>
      <b/>
      <sz val="10"/>
      <name val="Arial"/>
      <family val="2"/>
    </font>
    <font>
      <b/>
      <sz val="2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9" fontId="6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3"/>
    <xf numFmtId="1" fontId="2" fillId="0" borderId="0" xfId="3" applyNumberFormat="1"/>
    <xf numFmtId="0" fontId="3" fillId="0" borderId="0" xfId="0" applyFont="1"/>
    <xf numFmtId="0" fontId="5" fillId="0" borderId="0" xfId="3" applyFont="1"/>
    <xf numFmtId="14" fontId="5" fillId="0" borderId="0" xfId="3" applyNumberFormat="1" applyFont="1"/>
    <xf numFmtId="0" fontId="4" fillId="2" borderId="0" xfId="3" applyFont="1" applyFill="1" applyAlignment="1">
      <alignment horizontal="center" vertical="center" wrapText="1"/>
    </xf>
    <xf numFmtId="0" fontId="2" fillId="0" borderId="0" xfId="3" applyAlignment="1">
      <alignment vertical="center" wrapText="1"/>
    </xf>
    <xf numFmtId="164" fontId="5" fillId="0" borderId="0" xfId="1" applyNumberFormat="1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165" fontId="2" fillId="0" borderId="0" xfId="3" applyNumberFormat="1"/>
    <xf numFmtId="166" fontId="2" fillId="0" borderId="0" xfId="3" applyNumberFormat="1"/>
    <xf numFmtId="0" fontId="2" fillId="0" borderId="7" xfId="3" applyBorder="1"/>
    <xf numFmtId="164" fontId="2" fillId="0" borderId="7" xfId="1" applyNumberFormat="1" applyBorder="1"/>
    <xf numFmtId="0" fontId="7" fillId="3" borderId="7" xfId="3" applyFont="1" applyFill="1" applyBorder="1"/>
    <xf numFmtId="164" fontId="7" fillId="3" borderId="7" xfId="1" applyNumberFormat="1" applyFont="1" applyFill="1" applyBorder="1"/>
    <xf numFmtId="0" fontId="7" fillId="0" borderId="7" xfId="3" applyFont="1" applyBorder="1"/>
    <xf numFmtId="164" fontId="7" fillId="0" borderId="7" xfId="3" applyNumberFormat="1" applyFont="1" applyBorder="1"/>
    <xf numFmtId="164" fontId="7" fillId="0" borderId="7" xfId="1" applyNumberFormat="1" applyFont="1" applyBorder="1"/>
    <xf numFmtId="9" fontId="2" fillId="0" borderId="7" xfId="3" applyNumberFormat="1" applyBorder="1"/>
    <xf numFmtId="9" fontId="2" fillId="0" borderId="7" xfId="4" applyFont="1" applyBorder="1"/>
    <xf numFmtId="0" fontId="2" fillId="0" borderId="8" xfId="3" applyBorder="1"/>
    <xf numFmtId="0" fontId="7" fillId="0" borderId="8" xfId="3" applyFont="1" applyBorder="1"/>
    <xf numFmtId="14" fontId="2" fillId="0" borderId="0" xfId="3" applyNumberFormat="1"/>
    <xf numFmtId="14" fontId="7" fillId="0" borderId="7" xfId="3" applyNumberFormat="1" applyFont="1" applyBorder="1"/>
    <xf numFmtId="14" fontId="7" fillId="0" borderId="8" xfId="3" applyNumberFormat="1" applyFont="1" applyBorder="1"/>
    <xf numFmtId="0" fontId="5" fillId="0" borderId="7" xfId="3" applyFont="1" applyBorder="1"/>
    <xf numFmtId="0" fontId="2" fillId="4" borderId="0" xfId="3" applyFill="1"/>
    <xf numFmtId="0" fontId="7" fillId="4" borderId="0" xfId="3" applyFont="1" applyFill="1"/>
    <xf numFmtId="0" fontId="2" fillId="5" borderId="0" xfId="3" applyFill="1" applyAlignment="1">
      <alignment vertical="center" wrapText="1"/>
    </xf>
    <xf numFmtId="0" fontId="7" fillId="6" borderId="0" xfId="3" applyFont="1" applyFill="1"/>
    <xf numFmtId="0" fontId="2" fillId="6" borderId="0" xfId="3" applyFill="1"/>
    <xf numFmtId="0" fontId="4" fillId="6" borderId="0" xfId="3" applyFont="1" applyFill="1" applyAlignment="1">
      <alignment horizontal="center" vertical="center" wrapText="1"/>
    </xf>
    <xf numFmtId="0" fontId="2" fillId="7" borderId="0" xfId="3" applyFill="1"/>
    <xf numFmtId="0" fontId="8" fillId="8" borderId="0" xfId="3" applyFont="1" applyFill="1"/>
    <xf numFmtId="0" fontId="7" fillId="8" borderId="0" xfId="3" applyFont="1" applyFill="1"/>
    <xf numFmtId="0" fontId="4" fillId="4" borderId="0" xfId="3" applyFont="1" applyFill="1" applyAlignment="1">
      <alignment horizontal="center" vertical="center" wrapText="1"/>
    </xf>
    <xf numFmtId="0" fontId="2" fillId="4" borderId="0" xfId="3" applyFill="1" applyBorder="1"/>
    <xf numFmtId="0" fontId="7" fillId="4" borderId="0" xfId="3" applyFont="1" applyFill="1" applyBorder="1"/>
    <xf numFmtId="0" fontId="4" fillId="4" borderId="0" xfId="3" applyFont="1" applyFill="1" applyBorder="1" applyAlignment="1">
      <alignment horizontal="center" vertical="center" wrapText="1"/>
    </xf>
    <xf numFmtId="0" fontId="5" fillId="4" borderId="0" xfId="3" applyFont="1" applyFill="1" applyBorder="1"/>
    <xf numFmtId="0" fontId="0" fillId="4" borderId="0" xfId="0" applyFill="1" applyBorder="1"/>
    <xf numFmtId="0" fontId="2" fillId="0" borderId="9" xfId="3" applyBorder="1"/>
    <xf numFmtId="9" fontId="2" fillId="4" borderId="0" xfId="4" applyFont="1" applyFill="1" applyBorder="1"/>
    <xf numFmtId="164" fontId="7" fillId="4" borderId="0" xfId="1" applyNumberFormat="1" applyFont="1" applyFill="1" applyBorder="1"/>
    <xf numFmtId="164" fontId="7" fillId="4" borderId="0" xfId="3" applyNumberFormat="1" applyFont="1" applyFill="1" applyBorder="1"/>
    <xf numFmtId="14" fontId="7" fillId="4" borderId="0" xfId="3" applyNumberFormat="1" applyFont="1" applyFill="1" applyBorder="1"/>
    <xf numFmtId="0" fontId="2" fillId="4" borderId="0" xfId="3" applyFill="1" applyAlignment="1">
      <alignment vertical="center" wrapText="1"/>
    </xf>
    <xf numFmtId="0" fontId="2" fillId="0" borderId="10" xfId="3" applyBorder="1"/>
    <xf numFmtId="9" fontId="2" fillId="0" borderId="10" xfId="3" applyNumberFormat="1" applyBorder="1"/>
    <xf numFmtId="9" fontId="2" fillId="0" borderId="11" xfId="3" applyNumberFormat="1" applyBorder="1"/>
    <xf numFmtId="0" fontId="2" fillId="4" borderId="0" xfId="3" applyFill="1" applyBorder="1" applyAlignment="1">
      <alignment vertical="center" wrapText="1"/>
    </xf>
    <xf numFmtId="0" fontId="8" fillId="4" borderId="0" xfId="3" applyFont="1" applyFill="1" applyBorder="1"/>
    <xf numFmtId="166" fontId="2" fillId="0" borderId="0" xfId="3" applyNumberFormat="1" applyAlignment="1">
      <alignment horizontal="center"/>
    </xf>
    <xf numFmtId="0" fontId="2" fillId="8" borderId="0" xfId="3" applyFill="1" applyAlignment="1">
      <alignment horizontal="center"/>
    </xf>
    <xf numFmtId="0" fontId="2" fillId="8" borderId="0" xfId="3" applyFill="1"/>
    <xf numFmtId="0" fontId="2" fillId="8" borderId="0" xfId="3" applyFill="1" applyBorder="1"/>
    <xf numFmtId="166" fontId="2" fillId="9" borderId="0" xfId="3" applyNumberFormat="1" applyFill="1"/>
  </cellXfs>
  <cellStyles count="5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ustomXml" Target="../ink/ink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427140</xdr:colOff>
      <xdr:row>30</xdr:row>
      <xdr:rowOff>15120</xdr:rowOff>
    </xdr:from>
    <xdr:to>
      <xdr:col>21</xdr:col>
      <xdr:colOff>531560</xdr:colOff>
      <xdr:row>43</xdr:row>
      <xdr:rowOff>128820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דיו 3">
              <a:extLst>
                <a:ext uri="{FF2B5EF4-FFF2-40B4-BE49-F238E27FC236}">
                  <a16:creationId xmlns:a16="http://schemas.microsoft.com/office/drawing/2014/main" id="{5993A395-1F50-A5B4-ED07-D78F4682B283}"/>
                </a:ext>
              </a:extLst>
            </xdr14:cNvPr>
            <xdr14:cNvContentPartPr/>
          </xdr14:nvContentPartPr>
          <xdr14:nvPr macro=""/>
          <xdr14:xfrm>
            <a:off x="11016223140" y="5958720"/>
            <a:ext cx="2250720" cy="2590200"/>
          </xdr14:xfrm>
        </xdr:contentPart>
      </mc:Choice>
      <mc:Fallback xmlns="">
        <xdr:pic>
          <xdr:nvPicPr>
            <xdr:cNvPr id="4" name="דיו 3">
              <a:extLst>
                <a:ext uri="{FF2B5EF4-FFF2-40B4-BE49-F238E27FC236}">
                  <a16:creationId xmlns:a16="http://schemas.microsoft.com/office/drawing/2014/main" id="{5993A395-1F50-A5B4-ED07-D78F4682B283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016214140" y="5949720"/>
              <a:ext cx="2268360" cy="26078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327129</xdr:colOff>
      <xdr:row>3</xdr:row>
      <xdr:rowOff>11372</xdr:rowOff>
    </xdr:from>
    <xdr:to>
      <xdr:col>8</xdr:col>
      <xdr:colOff>952500</xdr:colOff>
      <xdr:row>16</xdr:row>
      <xdr:rowOff>144779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FB216439-E1BE-CB43-A55E-B1332242E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57894940" y="788612"/>
          <a:ext cx="7910091" cy="25870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427140</xdr:colOff>
      <xdr:row>30</xdr:row>
      <xdr:rowOff>15120</xdr:rowOff>
    </xdr:from>
    <xdr:to>
      <xdr:col>17</xdr:col>
      <xdr:colOff>531560</xdr:colOff>
      <xdr:row>43</xdr:row>
      <xdr:rowOff>128820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דיו 1">
              <a:extLst>
                <a:ext uri="{FF2B5EF4-FFF2-40B4-BE49-F238E27FC236}">
                  <a16:creationId xmlns:a16="http://schemas.microsoft.com/office/drawing/2014/main" id="{A1C69FB0-ABDD-9B47-ABB1-E4645EBAC84F}"/>
                </a:ext>
              </a:extLst>
            </xdr14:cNvPr>
            <xdr14:cNvContentPartPr/>
          </xdr14:nvContentPartPr>
          <xdr14:nvPr macro=""/>
          <xdr14:xfrm>
            <a:off x="11016223140" y="5958720"/>
            <a:ext cx="2250720" cy="2590200"/>
          </xdr14:xfrm>
        </xdr:contentPart>
      </mc:Choice>
      <mc:Fallback xmlns="">
        <xdr:pic>
          <xdr:nvPicPr>
            <xdr:cNvPr id="2" name="דיו 1">
              <a:extLst>
                <a:ext uri="{FF2B5EF4-FFF2-40B4-BE49-F238E27FC236}">
                  <a16:creationId xmlns:a16="http://schemas.microsoft.com/office/drawing/2014/main" id="{A1C69FB0-ABDD-9B47-ABB1-E4645EBAC84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016214140" y="5949720"/>
              <a:ext cx="2268360" cy="2607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427140</xdr:colOff>
      <xdr:row>30</xdr:row>
      <xdr:rowOff>15120</xdr:rowOff>
    </xdr:from>
    <xdr:to>
      <xdr:col>21</xdr:col>
      <xdr:colOff>531560</xdr:colOff>
      <xdr:row>43</xdr:row>
      <xdr:rowOff>128820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דיו 1">
              <a:extLst>
                <a:ext uri="{FF2B5EF4-FFF2-40B4-BE49-F238E27FC236}">
                  <a16:creationId xmlns:a16="http://schemas.microsoft.com/office/drawing/2014/main" id="{B3B16DBD-7226-4C4B-B719-E5BE3D2D2910}"/>
                </a:ext>
              </a:extLst>
            </xdr14:cNvPr>
            <xdr14:cNvContentPartPr/>
          </xdr14:nvContentPartPr>
          <xdr14:nvPr macro=""/>
          <xdr14:xfrm>
            <a:off x="11016223140" y="5958720"/>
            <a:ext cx="2250720" cy="2590200"/>
          </xdr14:xfrm>
        </xdr:contentPart>
      </mc:Choice>
      <mc:Fallback xmlns="">
        <xdr:pic>
          <xdr:nvPicPr>
            <xdr:cNvPr id="4" name="דיו 3">
              <a:extLst>
                <a:ext uri="{FF2B5EF4-FFF2-40B4-BE49-F238E27FC236}">
                  <a16:creationId xmlns:a16="http://schemas.microsoft.com/office/drawing/2014/main" id="{5993A395-1F50-A5B4-ED07-D78F4682B283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016214140" y="5949720"/>
              <a:ext cx="2268360" cy="26078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228068</xdr:colOff>
      <xdr:row>5</xdr:row>
      <xdr:rowOff>140912</xdr:rowOff>
    </xdr:from>
    <xdr:to>
      <xdr:col>11</xdr:col>
      <xdr:colOff>1158034</xdr:colOff>
      <xdr:row>21</xdr:row>
      <xdr:rowOff>91440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F0C90071-CA16-4CE4-B3E3-B8F2C741A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56386386" y="1268672"/>
          <a:ext cx="9517706" cy="311282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556260</xdr:colOff>
      <xdr:row>1</xdr:row>
      <xdr:rowOff>137160</xdr:rowOff>
    </xdr:from>
    <xdr:to>
      <xdr:col>24</xdr:col>
      <xdr:colOff>571500</xdr:colOff>
      <xdr:row>37</xdr:row>
      <xdr:rowOff>106680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71E53921-9563-DE4E-6C9B-8C0B58EFABB0}"/>
            </a:ext>
          </a:extLst>
        </xdr:cNvPr>
        <xdr:cNvSpPr txBox="1"/>
      </xdr:nvSpPr>
      <xdr:spPr>
        <a:xfrm>
          <a:off x="9972484500" y="304800"/>
          <a:ext cx="13426440" cy="60045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אקסל, מועד ב 2024: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חברים,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הערב אקליט לכם שיעור חזרה עם סעיפים שיהיו בטוח במועד ב! יהיה מוכן מחר ממש על הבוקר!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המבחן מועד ב 2024 יהיה באותה רמה של מועד א אבל יחסית שונה בשאלות (ינסו לשאול על דברים שלא הספיקו במועד א)! 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אין גרפים, אין טבלת ציר.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VLOOKUP 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יהיה יחסית ברמה נמוכה-בינונית. לא קשה ולא מורכב מדי. קל יותר ממועד א!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במועד ב צריכים להיות טובים ב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 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ים מורכבים!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מי שלא ישלוט ב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ים במועד ב: יסבול הרבה!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יהיה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מורכב שמתחיל עם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AND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ואז ממשיך עם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ואז שוב פעם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</a:t>
          </a: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(כמו במועד א בעמודה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שביקשו בונוס חד פעמי).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יהיה ניתוח רגישות מסדר ראשון (במקום יצירת רשימה ייחודית ואז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sumIf 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/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averageIf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אשר היו במועד א)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תהיה חתירה למטרה.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יהיה סינון מתקדם (קצת יותר קשה ממועד א) ללא קריטריון מחושב (הכוונה לא צריך את 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TRUE   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או 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FALSE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יהיה עיצוב מותנה.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לדעת לחשב גיל או ותק בעמודה נפרדת או אפילו בתוך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או בתוך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DATE</a:t>
          </a:r>
        </a:p>
        <a:p>
          <a:pPr rtl="1"/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לא יהיה את הטריק של יום אחרון בחודש בפונקציה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DATE</a:t>
          </a:r>
          <a:r>
            <a:rPr lang="he-I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r" rtl="1"/>
          <a:endParaRPr lang="he-IL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182880</xdr:colOff>
      <xdr:row>10</xdr:row>
      <xdr:rowOff>279476</xdr:rowOff>
    </xdr:from>
    <xdr:to>
      <xdr:col>8</xdr:col>
      <xdr:colOff>765099</xdr:colOff>
      <xdr:row>25</xdr:row>
      <xdr:rowOff>144780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5523E8C3-FA0B-42CC-9DB1-2D74CC177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58082341" y="2283536"/>
          <a:ext cx="8674659" cy="28371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182880</xdr:colOff>
      <xdr:row>10</xdr:row>
      <xdr:rowOff>279476</xdr:rowOff>
    </xdr:from>
    <xdr:to>
      <xdr:col>8</xdr:col>
      <xdr:colOff>765099</xdr:colOff>
      <xdr:row>25</xdr:row>
      <xdr:rowOff>144780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EFABAA2D-7666-4B26-A175-3072A109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1198921" y="2283536"/>
          <a:ext cx="8674659" cy="2837104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1-27T13:17:38.51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6644 24575,'58'-10'0,"0"-1"0,18-15 0,-29 11 0,-1-2 0,9-27 0,-31 24 0,30-9 0,-23 11 0,12-7 0,7-9 0,9-10 0,10-9-597,-2 5 597,-8-6 0,-24 26 0,2 1 0,32-22 0,-26 11 0,-1 0 0,27-20-689,-26 14 0,0 0 689,-4 5 0,-2 1 0,4-10 0,-1-3 0,10-16 0,-3-2 0,-7 11 0,-3-1 0,4-12 0,0 1 0,-8 20 0,0 3 0,-8 2 0,-1 1 0,4 7 0,-1 0-196,0-3 1,1 0 195,20-23 0,3 0 0,4-6 0,-11 13 0,-17 17 0,0 0 0,10-21 0,7-15 0,-15 8 0,-4 27 0,2-1 0,15-36 0,-19 36 0,2 0 0,-3-2 0,1-2 0,0-13 0,0 1 0,-4 15 0,2-2 0,11-23 0,-3 1 0,3-6 0,-7 27 0,-3 0 0,7-30 0,-10 36 543,-2-10-543,-9 32 1390,27-34-1390,-13 11 0,4-3 0,2-3 0,5-6 0,-8 4 0,0 1 0,8-6-155,-9 6 1,0-3 154,15-30 0,0 0 0,-16 36 0,-1 0 0,8-23 0,13-12 0,-6 1 0,-14 36 0,3-4 0,9-21 0,-1-2 0,-7 12 0,1 0-786,9-17 1,-2 1 785,-11 21 0,2 2 0,-1-1 0,0 0 0,-2-1 0,-4 2-189,2 4 0,-2 1 189,5-44 0,4 12 0,3-1 0,-13 28 0,9 8 0,-14 10 668,8-4-668,-3 0 1597,4-13-1597,-12 30 426,6-10-426,-13 16 0,9-5 0,-3 1 0,18-15 0,-14 15 0,26-31 0,-23 23 0,27-34 0,-25 34 0,13-18 0,21 18 0,-12-18 0,22 12 0,-9-36-964,4 19 964,-2-16 0,13 9 0,-27 15-77,3 6 77,9-6 0,-8 14 0,6-1 0,-13 9 0,21 6 960,-23 1-960,10-1 0,2 0 0,-12 4 81,36-19-81,-31 18 0,0-8 0,-8 10 0,26-4 0,-28 7 0,24-3 0,-37 1 0,-4 5 0,-7-3 0,8 4 0,-10 0 0,1 0 0</inkml:trace>
  <inkml:trace contextRef="#ctx0" brushRef="#br0" timeOffset="1525">5083 32 24575,'18'-5'0,"3"-3"0,-14 7 0,8-1 0,-8 2 0,13 0 0,-10-8 0,8 7 0,-6-6 0,-1 7 0,19 0 0,-19 0 0,19 0 0,-19 0 0,10 0 0,0 0 0,2 0 0,12 0 0,-7 0 0,5 0 0,-11 0 0,-10 0 0,-1 0 0,-1 0 0,8 5 0,-7-4 0,10 6 0,-10-6 0,0 3 0,3-2 0,-7 3 0,1 2 0,-5 4 0,-3 7 0,0-2 0,0 5 0,0-6 0,0 6 0,0-8 0,0 7 0,-8-2 0,6-2 0,-6 22 0,8-22 0,-3 14 0,-1-18 0,-3-1 0,0 1 0,-1-5 0,-2 0 0,2 1 0,-6 3 0,2 0 0,-2 5 0,-7-4 0,0 3 0,2-5 0,2 3 0,7-2 0,2-3 0,-6 6 0,6-6 0,-2 3 0,3-4 0,0 1 0,-8 3 0,10-6 0,-5 1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1-27T13:20:50.59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6644 24575,'58'-10'0,"0"-1"0,18-15 0,-29 11 0,-1-2 0,9-27 0,-31 24 0,30-9 0,-23 11 0,12-7 0,7-9 0,9-10 0,10-9-597,-2 5 597,-8-6 0,-24 26 0,2 1 0,32-22 0,-26 11 0,-1 0 0,27-20-689,-26 14 0,0 0 689,-4 5 0,-2 1 0,4-10 0,-1-3 0,10-16 0,-3-2 0,-7 11 0,-3-1 0,4-12 0,0 1 0,-8 20 0,0 3 0,-8 2 0,-1 1 0,4 7 0,-1 0-196,0-3 1,1 0 195,20-23 0,3 0 0,4-6 0,-11 13 0,-17 17 0,0 0 0,10-21 0,7-15 0,-15 8 0,-4 27 0,2-1 0,15-36 0,-19 36 0,2 0 0,-3-2 0,1-2 0,0-13 0,0 1 0,-4 15 0,2-2 0,11-23 0,-3 1 0,3-6 0,-7 27 0,-3 0 0,7-30 0,-10 36 543,-2-10-543,-9 32 1390,27-34-1390,-13 11 0,4-3 0,2-3 0,5-6 0,-8 4 0,0 1 0,8-6-155,-9 6 1,0-3 154,15-30 0,0 0 0,-16 36 0,-1 0 0,8-23 0,13-12 0,-6 1 0,-14 36 0,3-4 0,9-21 0,-1-2 0,-7 12 0,1 0-786,9-17 1,-2 1 785,-11 21 0,2 2 0,-1-1 0,0 0 0,-2-1 0,-4 2-189,2 4 0,-2 1 189,5-44 0,4 12 0,3-1 0,-13 28 0,9 8 0,-14 10 668,8-4-668,-3 0 1597,4-13-1597,-12 30 426,6-10-426,-13 16 0,9-5 0,-3 1 0,18-15 0,-14 15 0,26-31 0,-23 23 0,27-34 0,-25 34 0,13-18 0,21 18 0,-12-18 0,22 12 0,-9-36-964,4 19 964,-2-16 0,13 9 0,-27 15-77,3 6 77,9-6 0,-8 14 0,6-1 0,-13 9 0,21 6 960,-23 1-960,10-1 0,2 0 0,-12 4 81,36-19-81,-31 18 0,0-8 0,-8 10 0,26-4 0,-28 7 0,24-3 0,-37 1 0,-4 5 0,-7-3 0,8 4 0,-10 0 0,1 0 0</inkml:trace>
  <inkml:trace contextRef="#ctx0" brushRef="#br0" timeOffset="1">5083 32 24575,'18'-5'0,"3"-3"0,-14 7 0,8-1 0,-8 2 0,13 0 0,-10-8 0,8 7 0,-6-6 0,-1 7 0,19 0 0,-19 0 0,19 0 0,-19 0 0,10 0 0,0 0 0,2 0 0,12 0 0,-7 0 0,5 0 0,-11 0 0,-10 0 0,-1 0 0,-1 0 0,8 5 0,-7-4 0,10 6 0,-10-6 0,0 3 0,3-2 0,-7 3 0,1 2 0,-5 4 0,-3 7 0,0-2 0,0 5 0,0-6 0,0 6 0,0-8 0,0 7 0,-8-2 0,6-2 0,-6 22 0,8-22 0,-3 14 0,-1-18 0,-3-1 0,0 1 0,-1-5 0,-2 0 0,2 1 0,-6 3 0,2 0 0,-2 5 0,-7-4 0,0 3 0,2-5 0,2 3 0,7-2 0,2-3 0,-6 6 0,6-6 0,-2 3 0,3-4 0,0 1 0,-8 3 0,10-6 0,-5 1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2-28T08:19:54.31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6644 24575,'58'-10'0,"0"-1"0,18-15 0,-29 11 0,-1-2 0,9-27 0,-31 24 0,30-9 0,-23 11 0,12-7 0,7-9 0,9-10 0,10-9-597,-2 5 597,-8-6 0,-24 26 0,2 1 0,32-22 0,-26 11 0,-1 0 0,27-20-689,-26 14 0,0 0 689,-4 5 0,-2 1 0,4-10 0,-1-3 0,10-16 0,-3-2 0,-7 11 0,-3-1 0,4-12 0,0 1 0,-8 20 0,0 3 0,-8 2 0,-1 1 0,4 7 0,-1 0-196,0-3 1,1 0 195,20-23 0,3 0 0,4-6 0,-11 13 0,-17 17 0,0 0 0,10-21 0,7-15 0,-15 8 0,-4 27 0,2-1 0,15-36 0,-19 36 0,2 0 0,-3-2 0,1-2 0,0-13 0,0 1 0,-4 15 0,2-2 0,11-23 0,-3 1 0,3-6 0,-7 27 0,-3 0 0,7-30 0,-10 36 543,-2-10-543,-9 32 1390,27-34-1390,-13 11 0,4-3 0,2-3 0,5-6 0,-8 4 0,0 1 0,8-6-155,-9 6 1,0-3 154,15-30 0,0 0 0,-16 36 0,-1 0 0,8-23 0,13-12 0,-6 1 0,-14 36 0,3-4 0,9-21 0,-1-2 0,-7 12 0,1 0-786,9-17 1,-2 1 785,-11 21 0,2 2 0,-1-1 0,0 0 0,-2-1 0,-4 2-189,2 4 0,-2 1 189,5-44 0,4 12 0,3-1 0,-13 28 0,9 8 0,-14 10 668,8-4-668,-3 0 1597,4-13-1597,-12 30 426,6-10-426,-13 16 0,9-5 0,-3 1 0,18-15 0,-14 15 0,26-31 0,-23 23 0,27-34 0,-25 34 0,13-18 0,21 18 0,-12-18 0,22 12 0,-9-36-964,4 19 964,-2-16 0,13 9 0,-27 15-77,3 6 77,9-6 0,-8 14 0,6-1 0,-13 9 0,21 6 960,-23 1-960,10-1 0,2 0 0,-12 4 81,36-19-81,-31 18 0,0-8 0,-8 10 0,26-4 0,-28 7 0,24-3 0,-37 1 0,-4 5 0,-7-3 0,8 4 0,-10 0 0,1 0 0</inkml:trace>
  <inkml:trace contextRef="#ctx0" brushRef="#br0" timeOffset="1">5083 32 24575,'18'-5'0,"3"-3"0,-14 7 0,8-1 0,-8 2 0,13 0 0,-10-8 0,8 7 0,-6-6 0,-1 7 0,19 0 0,-19 0 0,19 0 0,-19 0 0,10 0 0,0 0 0,2 0 0,12 0 0,-7 0 0,5 0 0,-11 0 0,-10 0 0,-1 0 0,-1 0 0,8 5 0,-7-4 0,10 6 0,-10-6 0,0 3 0,3-2 0,-7 3 0,1 2 0,-5 4 0,-3 7 0,0-2 0,0 5 0,0-6 0,0 6 0,0-8 0,0 7 0,-8-2 0,6-2 0,-6 22 0,8-22 0,-3 14 0,-1-18 0,-3-1 0,0 1 0,-1-5 0,-2 0 0,2 1 0,-6 3 0,2 0 0,-2 5 0,-7-4 0,0 3 0,2-5 0,2 3 0,7-2 0,2-3 0,-6 6 0,6-6 0,-2 3 0,3-4 0,0 1 0,-8 3 0,10-6 0,-5 1 0</inkml:trace>
</inkml: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14AA9-5C09-4CE0-889C-2959E91AAEF2}">
  <dimension ref="A1:B5"/>
  <sheetViews>
    <sheetView rightToLeft="1" zoomScale="120" zoomScaleNormal="120" workbookViewId="0">
      <selection activeCell="B1" sqref="A1:B5"/>
    </sheetView>
  </sheetViews>
  <sheetFormatPr defaultColWidth="9.109375" defaultRowHeight="13.2" x14ac:dyDescent="0.25"/>
  <cols>
    <col min="1" max="1" width="10.44140625" style="3" bestFit="1" customWidth="1"/>
    <col min="2" max="16384" width="9.109375" style="3"/>
  </cols>
  <sheetData>
    <row r="1" spans="1:2" x14ac:dyDescent="0.25">
      <c r="A1" s="9" t="s">
        <v>81</v>
      </c>
      <c r="B1" s="10"/>
    </row>
    <row r="2" spans="1:2" x14ac:dyDescent="0.25">
      <c r="A2" s="11" t="s">
        <v>82</v>
      </c>
      <c r="B2" s="12"/>
    </row>
    <row r="3" spans="1:2" x14ac:dyDescent="0.25">
      <c r="A3" s="11" t="s">
        <v>83</v>
      </c>
      <c r="B3" s="12"/>
    </row>
    <row r="4" spans="1:2" x14ac:dyDescent="0.25">
      <c r="A4" s="11" t="s">
        <v>84</v>
      </c>
      <c r="B4" s="12"/>
    </row>
    <row r="5" spans="1:2" ht="13.8" thickBot="1" x14ac:dyDescent="0.3">
      <c r="A5" s="13" t="s">
        <v>85</v>
      </c>
      <c r="B5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3E56F-6F60-4B14-8FC8-BF73C77F8301}">
  <dimension ref="B3:C7"/>
  <sheetViews>
    <sheetView rightToLeft="1" workbookViewId="0">
      <selection activeCell="B3" sqref="B3"/>
    </sheetView>
  </sheetViews>
  <sheetFormatPr defaultColWidth="9.109375" defaultRowHeight="13.2" x14ac:dyDescent="0.25"/>
  <cols>
    <col min="1" max="1" width="7.6640625" style="3" customWidth="1"/>
    <col min="2" max="2" width="12.6640625" style="3" customWidth="1"/>
    <col min="3" max="3" width="13.109375" style="3" bestFit="1" customWidth="1"/>
    <col min="4" max="7" width="9.109375" style="3"/>
    <col min="8" max="8" width="10.44140625" style="3" customWidth="1"/>
    <col min="9" max="16384" width="9.109375" style="3"/>
  </cols>
  <sheetData>
    <row r="3" spans="2:3" ht="27.6" x14ac:dyDescent="0.25">
      <c r="B3" s="6" t="s">
        <v>89</v>
      </c>
      <c r="C3" s="6" t="s">
        <v>93</v>
      </c>
    </row>
    <row r="4" spans="2:3" ht="13.8" x14ac:dyDescent="0.25">
      <c r="B4">
        <v>1</v>
      </c>
      <c r="C4" s="4" t="s">
        <v>61</v>
      </c>
    </row>
    <row r="5" spans="2:3" ht="13.8" x14ac:dyDescent="0.25">
      <c r="B5">
        <v>2</v>
      </c>
      <c r="C5" s="4" t="s">
        <v>64</v>
      </c>
    </row>
    <row r="6" spans="2:3" ht="13.8" x14ac:dyDescent="0.25">
      <c r="B6">
        <v>3</v>
      </c>
      <c r="C6" s="4" t="s">
        <v>63</v>
      </c>
    </row>
    <row r="7" spans="2:3" ht="13.8" x14ac:dyDescent="0.25">
      <c r="B7">
        <v>4</v>
      </c>
      <c r="C7" s="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1"/>
  <sheetViews>
    <sheetView rightToLeft="1" workbookViewId="0">
      <selection activeCell="P20" sqref="P20"/>
    </sheetView>
  </sheetViews>
  <sheetFormatPr defaultColWidth="8.77734375" defaultRowHeight="13.2" x14ac:dyDescent="0.25"/>
  <cols>
    <col min="1" max="1" width="11.77734375" style="1" customWidth="1"/>
    <col min="2" max="2" width="11.44140625" style="1" customWidth="1"/>
    <col min="3" max="3" width="15.6640625" style="1" customWidth="1"/>
    <col min="4" max="4" width="16.6640625" style="1" customWidth="1"/>
    <col min="5" max="5" width="11.33203125" style="1" customWidth="1"/>
    <col min="6" max="6" width="16.6640625" style="1" customWidth="1"/>
    <col min="7" max="7" width="16.33203125" style="1" customWidth="1"/>
    <col min="8" max="8" width="18.109375" style="1" customWidth="1"/>
    <col min="9" max="9" width="19" style="1" customWidth="1"/>
    <col min="10" max="10" width="24.109375" style="1" hidden="1" customWidth="1"/>
    <col min="11" max="11" width="21.33203125" style="1" hidden="1" customWidth="1"/>
    <col min="12" max="12" width="24.109375" style="1" customWidth="1"/>
    <col min="13" max="15" width="8.77734375" style="1"/>
    <col min="16" max="16" width="10.44140625" style="1" bestFit="1" customWidth="1"/>
    <col min="17" max="19" width="8.77734375" style="1"/>
    <col min="20" max="20" width="10.44140625" style="1" bestFit="1" customWidth="1"/>
    <col min="21" max="23" width="8.77734375" style="1"/>
    <col min="24" max="24" width="9.44140625" style="1" bestFit="1" customWidth="1"/>
    <col min="25" max="16384" width="8.77734375" style="1"/>
  </cols>
  <sheetData>
    <row r="1" spans="1:31" s="7" customFormat="1" ht="33.75" customHeight="1" x14ac:dyDescent="0.25">
      <c r="A1" s="6" t="s">
        <v>92</v>
      </c>
      <c r="B1" s="6" t="s">
        <v>87</v>
      </c>
      <c r="C1" s="6" t="s">
        <v>86</v>
      </c>
      <c r="D1" s="6" t="s">
        <v>88</v>
      </c>
      <c r="E1" s="6" t="s">
        <v>89</v>
      </c>
      <c r="F1" s="6" t="s">
        <v>90</v>
      </c>
      <c r="G1" s="6" t="s">
        <v>91</v>
      </c>
      <c r="H1" s="6" t="s">
        <v>94</v>
      </c>
      <c r="I1" s="6" t="s">
        <v>95</v>
      </c>
      <c r="J1" s="6" t="s">
        <v>98</v>
      </c>
      <c r="K1" s="6" t="s">
        <v>101</v>
      </c>
      <c r="L1" s="37" t="s">
        <v>101</v>
      </c>
      <c r="M1" s="6" t="s">
        <v>115</v>
      </c>
      <c r="N1" s="34" t="s">
        <v>96</v>
      </c>
    </row>
    <row r="2" spans="1:31" ht="13.8" x14ac:dyDescent="0.25">
      <c r="A2" s="4">
        <v>20103</v>
      </c>
      <c r="B2" s="4" t="s">
        <v>24</v>
      </c>
      <c r="C2" s="4" t="s">
        <v>74</v>
      </c>
      <c r="D2" s="5">
        <v>41907</v>
      </c>
      <c r="E2" s="4">
        <v>2</v>
      </c>
      <c r="F2" s="1">
        <v>8</v>
      </c>
      <c r="G2" s="8">
        <v>58313</v>
      </c>
      <c r="H2" s="1" t="str">
        <f>VLOOKUP(E2,'נתוני עזר'!$B$4:$C$7,2,FALSE)</f>
        <v>מזומן</v>
      </c>
      <c r="I2" s="15">
        <f t="shared" ref="I2:I33" si="0">G2*IF(YEAR(D2)&lt;=$R$5,$S$14,IF(YEAR(D2)&lt;=$R$6,$S$6,IF(YEAR(D2)&lt;=$R$8,$S$8,IF(YEAR(D2)&lt;=$R$10,$S$10,IF(YEAR(D2)&lt;=$R$12,$S$12,$S$14)))))</f>
        <v>5248.17</v>
      </c>
      <c r="J2" s="1">
        <f t="shared" ref="J2:J33" si="1">G2*VLOOKUP(YEAR(D2),$R$20:$S$26,2,TRUE)</f>
        <v>5248.17</v>
      </c>
      <c r="K2" s="16">
        <f t="shared" ref="K2:K33" si="2">(G2-J2)/$S$31</f>
        <v>14740.230555555556</v>
      </c>
      <c r="L2" s="16">
        <f>(G2-I2)/$S$31</f>
        <v>14740.230555555556</v>
      </c>
      <c r="M2" s="1" t="str">
        <f t="shared" ref="M2:M33" si="3">IF(L2=$V$16,$V$16,TEXT(L2,"mmmm"))</f>
        <v>מאי</v>
      </c>
      <c r="N2" s="1">
        <f>YEAR(D2)</f>
        <v>2014</v>
      </c>
      <c r="O2" s="28"/>
    </row>
    <row r="3" spans="1:31" ht="13.8" x14ac:dyDescent="0.25">
      <c r="A3" s="4">
        <v>20138</v>
      </c>
      <c r="B3" s="4" t="s">
        <v>14</v>
      </c>
      <c r="C3" s="4" t="s">
        <v>74</v>
      </c>
      <c r="D3" s="5">
        <v>42616</v>
      </c>
      <c r="E3" s="4">
        <v>4</v>
      </c>
      <c r="F3" s="1">
        <v>4</v>
      </c>
      <c r="G3" s="8">
        <v>127284</v>
      </c>
      <c r="H3" s="1" t="str">
        <f>VLOOKUP(E3,'נתוני עזר'!$B$4:$C$7,2,FALSE)</f>
        <v>מס"ב</v>
      </c>
      <c r="I3" s="15">
        <f t="shared" si="0"/>
        <v>5091.3599999999997</v>
      </c>
      <c r="J3" s="1">
        <f t="shared" si="1"/>
        <v>5091.3599999999997</v>
      </c>
      <c r="K3" s="16">
        <f t="shared" si="2"/>
        <v>33942.400000000001</v>
      </c>
      <c r="L3" s="16">
        <f t="shared" ref="L3:L65" si="4">(G3-I3)/$S$31</f>
        <v>33942.400000000001</v>
      </c>
      <c r="M3" s="1" t="str">
        <f t="shared" si="3"/>
        <v>דצמבר</v>
      </c>
      <c r="N3" s="1">
        <f t="shared" ref="N3:N65" si="5">YEAR(D3)</f>
        <v>2016</v>
      </c>
    </row>
    <row r="4" spans="1:31" ht="13.8" x14ac:dyDescent="0.25">
      <c r="A4" s="4">
        <v>20107</v>
      </c>
      <c r="B4" s="4" t="s">
        <v>33</v>
      </c>
      <c r="C4" s="4" t="s">
        <v>75</v>
      </c>
      <c r="D4" s="5">
        <v>42821</v>
      </c>
      <c r="E4" s="4">
        <v>1</v>
      </c>
      <c r="F4" s="1">
        <v>5</v>
      </c>
      <c r="G4" s="8">
        <v>190177</v>
      </c>
      <c r="H4" s="1" t="str">
        <f>VLOOKUP(E4,'נתוני עזר'!$B$4:$C$7,2,FALSE)</f>
        <v>העברה בנקאית</v>
      </c>
      <c r="I4" s="15">
        <f t="shared" si="0"/>
        <v>13312.390000000001</v>
      </c>
      <c r="J4" s="1">
        <f t="shared" si="1"/>
        <v>13312.390000000001</v>
      </c>
      <c r="K4" s="16">
        <f t="shared" si="2"/>
        <v>49129.058333333327</v>
      </c>
      <c r="L4" s="16">
        <f t="shared" si="4"/>
        <v>49129.058333333327</v>
      </c>
      <c r="M4" s="1" t="str">
        <f t="shared" si="3"/>
        <v>יולי</v>
      </c>
      <c r="N4" s="1">
        <f t="shared" si="5"/>
        <v>2017</v>
      </c>
      <c r="Q4" s="19" t="s">
        <v>104</v>
      </c>
      <c r="R4" s="19" t="s">
        <v>103</v>
      </c>
      <c r="AA4" s="32"/>
    </row>
    <row r="5" spans="1:31" ht="13.8" x14ac:dyDescent="0.25">
      <c r="A5" s="4">
        <v>20147</v>
      </c>
      <c r="B5" s="4" t="s">
        <v>34</v>
      </c>
      <c r="C5" s="4" t="s">
        <v>77</v>
      </c>
      <c r="D5" s="5">
        <v>41824</v>
      </c>
      <c r="E5" s="4">
        <v>3</v>
      </c>
      <c r="F5" s="1">
        <v>10</v>
      </c>
      <c r="G5" s="8">
        <v>185512</v>
      </c>
      <c r="H5" s="1" t="str">
        <f>VLOOKUP(E5,'נתוני עזר'!$B$4:$C$7,2,FALSE)</f>
        <v>צ'קים</v>
      </c>
      <c r="I5" s="15">
        <f t="shared" si="0"/>
        <v>16696.079999999998</v>
      </c>
      <c r="J5" s="1">
        <f t="shared" si="1"/>
        <v>16696.079999999998</v>
      </c>
      <c r="K5" s="16">
        <f t="shared" si="2"/>
        <v>46893.311111111114</v>
      </c>
      <c r="L5" s="16">
        <f t="shared" si="4"/>
        <v>46893.311111111114</v>
      </c>
      <c r="M5" s="1" t="str">
        <f t="shared" si="3"/>
        <v>מאי</v>
      </c>
      <c r="N5" s="1">
        <f t="shared" si="5"/>
        <v>2014</v>
      </c>
      <c r="R5" s="26">
        <v>2008</v>
      </c>
      <c r="S5" s="17"/>
      <c r="U5" s="34" t="s">
        <v>96</v>
      </c>
      <c r="V5" s="6" t="s">
        <v>86</v>
      </c>
      <c r="W5" s="32"/>
      <c r="X5" s="32"/>
    </row>
    <row r="6" spans="1:31" ht="13.8" x14ac:dyDescent="0.25">
      <c r="A6" s="4">
        <v>20104</v>
      </c>
      <c r="B6" s="4" t="s">
        <v>3</v>
      </c>
      <c r="C6" s="4" t="s">
        <v>80</v>
      </c>
      <c r="D6" s="5">
        <v>40307</v>
      </c>
      <c r="E6" s="4">
        <v>2</v>
      </c>
      <c r="F6" s="1">
        <v>8</v>
      </c>
      <c r="G6" s="8">
        <v>135549</v>
      </c>
      <c r="H6" s="1" t="str">
        <f>VLOOKUP(E6,'נתוני עזר'!$B$4:$C$7,2,FALSE)</f>
        <v>מזומן</v>
      </c>
      <c r="I6" s="15">
        <f t="shared" si="0"/>
        <v>8132.94</v>
      </c>
      <c r="J6" s="1">
        <f t="shared" si="1"/>
        <v>8132.94</v>
      </c>
      <c r="K6" s="16">
        <f t="shared" si="2"/>
        <v>35393.35</v>
      </c>
      <c r="L6" s="16">
        <f t="shared" si="4"/>
        <v>35393.35</v>
      </c>
      <c r="M6" s="1" t="str">
        <f t="shared" si="3"/>
        <v>נובמבר</v>
      </c>
      <c r="N6" s="1">
        <f t="shared" si="5"/>
        <v>2010</v>
      </c>
      <c r="R6" s="17">
        <v>2010</v>
      </c>
      <c r="S6" s="24">
        <v>0.06</v>
      </c>
      <c r="U6" s="32">
        <v>2007</v>
      </c>
      <c r="V6" s="33" t="s">
        <v>68</v>
      </c>
      <c r="W6" s="33"/>
      <c r="X6" s="33"/>
      <c r="AD6" s="38"/>
      <c r="AE6" s="1">
        <f>V10</f>
        <v>101951</v>
      </c>
    </row>
    <row r="7" spans="1:31" ht="13.8" x14ac:dyDescent="0.25">
      <c r="A7" s="4">
        <v>20117</v>
      </c>
      <c r="B7" s="4" t="s">
        <v>9</v>
      </c>
      <c r="C7" s="4" t="s">
        <v>75</v>
      </c>
      <c r="D7" s="5">
        <v>40985</v>
      </c>
      <c r="E7" s="4">
        <v>1</v>
      </c>
      <c r="F7" s="1">
        <v>7</v>
      </c>
      <c r="G7" s="8">
        <v>199206</v>
      </c>
      <c r="H7" s="1" t="str">
        <f>VLOOKUP(E7,'נתוני עזר'!$B$4:$C$7,2,FALSE)</f>
        <v>העברה בנקאית</v>
      </c>
      <c r="I7" s="15">
        <f t="shared" si="0"/>
        <v>15936.48</v>
      </c>
      <c r="J7" s="1">
        <f t="shared" si="1"/>
        <v>15936.48</v>
      </c>
      <c r="K7" s="16">
        <f t="shared" si="2"/>
        <v>50908.2</v>
      </c>
      <c r="L7" s="16">
        <f t="shared" si="4"/>
        <v>50908.2</v>
      </c>
      <c r="M7" s="1" t="str">
        <f t="shared" si="3"/>
        <v>מאי</v>
      </c>
      <c r="N7" s="1">
        <f t="shared" si="5"/>
        <v>2012</v>
      </c>
      <c r="R7" s="17"/>
      <c r="S7" s="17"/>
      <c r="U7" s="32">
        <v>2012</v>
      </c>
      <c r="V7" s="33" t="s">
        <v>68</v>
      </c>
      <c r="W7" s="33"/>
      <c r="X7" s="33"/>
      <c r="AD7" s="1">
        <v>3</v>
      </c>
      <c r="AE7" s="1">
        <f t="dataTable" ref="AE7:AE15" dt2D="0" dtr="0" r1="S31"/>
        <v>122341.2</v>
      </c>
    </row>
    <row r="8" spans="1:31" ht="13.8" x14ac:dyDescent="0.25">
      <c r="A8" s="4">
        <v>20130</v>
      </c>
      <c r="B8" s="4" t="s">
        <v>65</v>
      </c>
      <c r="C8" s="4" t="s">
        <v>69</v>
      </c>
      <c r="D8" s="5">
        <v>38916</v>
      </c>
      <c r="E8" s="4">
        <v>5</v>
      </c>
      <c r="F8" s="1">
        <v>5</v>
      </c>
      <c r="G8" s="8">
        <v>174087</v>
      </c>
      <c r="H8" s="1" t="e">
        <f>VLOOKUP(E8,'נתוני עזר'!$B$4:$C$7,2,FALSE)</f>
        <v>#N/A</v>
      </c>
      <c r="I8" s="15">
        <f t="shared" si="0"/>
        <v>12186.090000000002</v>
      </c>
      <c r="J8" s="1">
        <f t="shared" si="1"/>
        <v>12186.090000000002</v>
      </c>
      <c r="K8" s="16">
        <f t="shared" si="2"/>
        <v>44972.474999999999</v>
      </c>
      <c r="L8" s="16">
        <f t="shared" si="4"/>
        <v>44972.474999999999</v>
      </c>
      <c r="M8" s="1" t="str">
        <f t="shared" si="3"/>
        <v>פברואר</v>
      </c>
      <c r="N8" s="1">
        <f t="shared" si="5"/>
        <v>2006</v>
      </c>
      <c r="P8" s="28"/>
      <c r="R8" s="17">
        <v>2012</v>
      </c>
      <c r="S8" s="24">
        <v>0.08</v>
      </c>
      <c r="U8" s="32"/>
      <c r="V8" s="33"/>
      <c r="W8" s="33"/>
      <c r="X8" s="33"/>
      <c r="AD8" s="1">
        <v>3.1</v>
      </c>
      <c r="AE8" s="1">
        <v>118394.70967741933</v>
      </c>
    </row>
    <row r="9" spans="1:31" ht="13.8" x14ac:dyDescent="0.25">
      <c r="A9" s="4">
        <v>20148</v>
      </c>
      <c r="B9" s="4" t="s">
        <v>2</v>
      </c>
      <c r="C9" s="4" t="s">
        <v>76</v>
      </c>
      <c r="D9" s="5">
        <v>42753</v>
      </c>
      <c r="E9" s="4">
        <v>3</v>
      </c>
      <c r="F9" s="1">
        <v>7</v>
      </c>
      <c r="G9" s="8">
        <v>133032</v>
      </c>
      <c r="H9" s="1" t="str">
        <f>VLOOKUP(E9,'נתוני עזר'!$B$4:$C$7,2,FALSE)</f>
        <v>צ'קים</v>
      </c>
      <c r="I9" s="15">
        <f t="shared" si="0"/>
        <v>9312.2400000000016</v>
      </c>
      <c r="J9" s="1">
        <f t="shared" si="1"/>
        <v>9312.2400000000016</v>
      </c>
      <c r="K9" s="16">
        <f t="shared" si="2"/>
        <v>34366.6</v>
      </c>
      <c r="L9" s="16">
        <f t="shared" si="4"/>
        <v>34366.6</v>
      </c>
      <c r="M9" s="1" t="str">
        <f t="shared" si="3"/>
        <v>פברואר</v>
      </c>
      <c r="N9" s="1">
        <f>YEAR(D9)</f>
        <v>2017</v>
      </c>
      <c r="R9" s="17"/>
      <c r="S9" s="17"/>
      <c r="U9" s="32"/>
      <c r="V9" s="33"/>
      <c r="W9" s="33"/>
      <c r="X9" s="33"/>
      <c r="AD9" s="1">
        <v>3.2</v>
      </c>
      <c r="AE9" s="1">
        <v>114694.87499999999</v>
      </c>
    </row>
    <row r="10" spans="1:31" ht="13.8" x14ac:dyDescent="0.25">
      <c r="A10" s="4">
        <v>20119</v>
      </c>
      <c r="B10" s="4" t="s">
        <v>11</v>
      </c>
      <c r="C10" s="4" t="s">
        <v>73</v>
      </c>
      <c r="D10" s="5">
        <v>39352</v>
      </c>
      <c r="E10" s="4">
        <v>4</v>
      </c>
      <c r="F10" s="1">
        <v>4</v>
      </c>
      <c r="G10" s="8">
        <v>138877</v>
      </c>
      <c r="H10" s="1" t="str">
        <f>VLOOKUP(E10,'נתוני עזר'!$B$4:$C$7,2,FALSE)</f>
        <v>מס"ב</v>
      </c>
      <c r="I10" s="15">
        <f t="shared" si="0"/>
        <v>9721.3900000000012</v>
      </c>
      <c r="J10" s="1">
        <f t="shared" si="1"/>
        <v>9721.3900000000012</v>
      </c>
      <c r="K10" s="16">
        <f t="shared" si="2"/>
        <v>35876.558333333334</v>
      </c>
      <c r="L10" s="16">
        <f t="shared" si="4"/>
        <v>35876.558333333334</v>
      </c>
      <c r="M10" s="1" t="str">
        <f t="shared" si="3"/>
        <v>מרץ</v>
      </c>
      <c r="N10" s="1">
        <f t="shared" si="5"/>
        <v>2007</v>
      </c>
      <c r="R10" s="17">
        <v>2014</v>
      </c>
      <c r="S10" s="24">
        <v>0.09</v>
      </c>
      <c r="U10" s="32"/>
      <c r="V10" s="35">
        <f>DSUM(A1:N65,L1,$U$5:$V$7)</f>
        <v>101951</v>
      </c>
      <c r="W10" s="35" t="s">
        <v>120</v>
      </c>
      <c r="X10" s="35"/>
      <c r="Y10" s="36"/>
      <c r="AD10" s="1">
        <v>3.3</v>
      </c>
      <c r="AE10" s="1">
        <v>111219.27272727274</v>
      </c>
    </row>
    <row r="11" spans="1:31" ht="13.8" x14ac:dyDescent="0.25">
      <c r="A11" s="4">
        <v>20153</v>
      </c>
      <c r="B11" s="4" t="s">
        <v>7</v>
      </c>
      <c r="C11" s="4" t="s">
        <v>74</v>
      </c>
      <c r="D11" s="5">
        <v>39411</v>
      </c>
      <c r="E11" s="4">
        <v>2</v>
      </c>
      <c r="F11" s="1">
        <v>1</v>
      </c>
      <c r="G11" s="8">
        <v>178982</v>
      </c>
      <c r="H11" s="1" t="str">
        <f>VLOOKUP(E11,'נתוני עזר'!$B$4:$C$7,2,FALSE)</f>
        <v>מזומן</v>
      </c>
      <c r="I11" s="15">
        <f t="shared" si="0"/>
        <v>12528.740000000002</v>
      </c>
      <c r="J11" s="1">
        <f t="shared" si="1"/>
        <v>12528.740000000002</v>
      </c>
      <c r="K11" s="16">
        <f t="shared" si="2"/>
        <v>46237.01666666667</v>
      </c>
      <c r="L11" s="16">
        <f t="shared" si="4"/>
        <v>46237.01666666667</v>
      </c>
      <c r="M11" s="1" t="str">
        <f t="shared" si="3"/>
        <v>אוגוסט</v>
      </c>
      <c r="N11" s="1">
        <f t="shared" si="5"/>
        <v>2007</v>
      </c>
      <c r="R11" s="17"/>
      <c r="S11" s="17"/>
      <c r="U11" s="32"/>
      <c r="V11" s="33"/>
      <c r="W11" s="33"/>
      <c r="X11" s="33"/>
      <c r="AD11" s="1">
        <v>3.4</v>
      </c>
      <c r="AE11" s="1">
        <v>107948.11764705883</v>
      </c>
    </row>
    <row r="12" spans="1:31" ht="13.8" x14ac:dyDescent="0.25">
      <c r="A12" s="4">
        <v>20139</v>
      </c>
      <c r="B12" s="4" t="s">
        <v>5</v>
      </c>
      <c r="C12" s="4" t="s">
        <v>70</v>
      </c>
      <c r="D12" s="5">
        <v>40146</v>
      </c>
      <c r="E12" s="4">
        <v>2</v>
      </c>
      <c r="F12" s="1">
        <v>2</v>
      </c>
      <c r="G12" s="8">
        <v>102615</v>
      </c>
      <c r="H12" s="1" t="str">
        <f>VLOOKUP(E12,'נתוני עזר'!$B$4:$C$7,2,FALSE)</f>
        <v>מזומן</v>
      </c>
      <c r="I12" s="15">
        <f t="shared" si="0"/>
        <v>6156.9</v>
      </c>
      <c r="J12" s="1">
        <f t="shared" si="1"/>
        <v>6156.9</v>
      </c>
      <c r="K12" s="16">
        <f t="shared" si="2"/>
        <v>26793.916666666668</v>
      </c>
      <c r="L12" s="16">
        <f t="shared" si="4"/>
        <v>26793.916666666668</v>
      </c>
      <c r="M12" s="1" t="str">
        <f t="shared" si="3"/>
        <v>מאי</v>
      </c>
      <c r="N12" s="1">
        <f t="shared" si="5"/>
        <v>2009</v>
      </c>
      <c r="R12" s="17">
        <v>2016</v>
      </c>
      <c r="S12" s="24">
        <v>0.04</v>
      </c>
      <c r="U12" s="32"/>
      <c r="V12" s="33"/>
      <c r="W12" s="33"/>
      <c r="X12" s="33"/>
      <c r="AD12" s="1">
        <v>3.5</v>
      </c>
      <c r="AE12" s="1">
        <v>104863.88571428572</v>
      </c>
    </row>
    <row r="13" spans="1:31" ht="13.8" x14ac:dyDescent="0.25">
      <c r="A13" s="4">
        <v>20131</v>
      </c>
      <c r="B13" s="4" t="s">
        <v>31</v>
      </c>
      <c r="C13" s="4" t="s">
        <v>75</v>
      </c>
      <c r="D13" s="5">
        <v>39878</v>
      </c>
      <c r="E13" s="4">
        <v>2</v>
      </c>
      <c r="F13" s="1">
        <v>3</v>
      </c>
      <c r="G13" s="8">
        <v>58896</v>
      </c>
      <c r="H13" s="1" t="str">
        <f>VLOOKUP(E13,'נתוני עזר'!$B$4:$C$7,2,FALSE)</f>
        <v>מזומן</v>
      </c>
      <c r="I13" s="15">
        <f t="shared" si="0"/>
        <v>3533.7599999999998</v>
      </c>
      <c r="J13" s="1">
        <f t="shared" si="1"/>
        <v>3533.7599999999998</v>
      </c>
      <c r="K13" s="16">
        <f t="shared" si="2"/>
        <v>15378.4</v>
      </c>
      <c r="L13" s="16">
        <f t="shared" si="4"/>
        <v>15378.4</v>
      </c>
      <c r="M13" s="1" t="str">
        <f t="shared" si="3"/>
        <v>פברואר</v>
      </c>
      <c r="N13" s="1">
        <f t="shared" si="5"/>
        <v>2009</v>
      </c>
      <c r="R13" s="17"/>
      <c r="S13" s="17"/>
      <c r="AD13" s="1">
        <v>3.6</v>
      </c>
      <c r="AE13" s="1">
        <v>101951</v>
      </c>
    </row>
    <row r="14" spans="1:31" ht="13.8" x14ac:dyDescent="0.25">
      <c r="A14" s="4">
        <v>20100</v>
      </c>
      <c r="B14" s="4" t="s">
        <v>12</v>
      </c>
      <c r="C14" s="4" t="s">
        <v>68</v>
      </c>
      <c r="D14" s="5">
        <v>40943</v>
      </c>
      <c r="E14" s="4">
        <v>4</v>
      </c>
      <c r="F14" s="1">
        <v>8</v>
      </c>
      <c r="G14" s="8">
        <v>115845</v>
      </c>
      <c r="H14" s="1" t="str">
        <f>VLOOKUP(E14,'נתוני עזר'!$B$4:$C$7,2,FALSE)</f>
        <v>מס"ב</v>
      </c>
      <c r="I14" s="15">
        <f t="shared" si="0"/>
        <v>9267.6</v>
      </c>
      <c r="J14" s="1">
        <f t="shared" si="1"/>
        <v>9267.6</v>
      </c>
      <c r="K14" s="16">
        <f t="shared" si="2"/>
        <v>29604.833333333332</v>
      </c>
      <c r="L14" s="16">
        <f t="shared" si="4"/>
        <v>29604.833333333332</v>
      </c>
      <c r="M14" s="1" t="str">
        <f t="shared" si="3"/>
        <v>ינואר</v>
      </c>
      <c r="N14" s="1">
        <f t="shared" si="5"/>
        <v>2012</v>
      </c>
      <c r="O14" s="19" t="s">
        <v>118</v>
      </c>
      <c r="P14" s="19" t="s">
        <v>106</v>
      </c>
      <c r="R14" s="17">
        <v>2018</v>
      </c>
      <c r="S14" s="24">
        <v>7.0000000000000007E-2</v>
      </c>
      <c r="AD14" s="1">
        <v>3.7</v>
      </c>
      <c r="AE14" s="1">
        <v>99195.567567567559</v>
      </c>
    </row>
    <row r="15" spans="1:31" ht="13.8" x14ac:dyDescent="0.25">
      <c r="A15" s="4">
        <v>20101</v>
      </c>
      <c r="B15" s="4" t="s">
        <v>21</v>
      </c>
      <c r="C15" s="4" t="s">
        <v>71</v>
      </c>
      <c r="D15" s="5">
        <v>42109</v>
      </c>
      <c r="E15" s="4">
        <v>1</v>
      </c>
      <c r="F15" s="1">
        <v>3</v>
      </c>
      <c r="G15" s="8">
        <v>92458</v>
      </c>
      <c r="H15" s="1" t="str">
        <f>VLOOKUP(E15,'נתוני עזר'!$B$4:$C$7,2,FALSE)</f>
        <v>העברה בנקאית</v>
      </c>
      <c r="I15" s="15">
        <f t="shared" si="0"/>
        <v>3698.32</v>
      </c>
      <c r="J15" s="1">
        <f t="shared" si="1"/>
        <v>3698.32</v>
      </c>
      <c r="K15" s="16">
        <f t="shared" si="2"/>
        <v>24655.466666666664</v>
      </c>
      <c r="L15" s="16">
        <f t="shared" si="4"/>
        <v>24655.466666666664</v>
      </c>
      <c r="M15" s="1" t="str">
        <f t="shared" si="3"/>
        <v>יולי</v>
      </c>
      <c r="N15" s="1">
        <f t="shared" si="5"/>
        <v>2015</v>
      </c>
      <c r="R15" s="17"/>
      <c r="S15" s="17"/>
      <c r="U15" s="19" t="s">
        <v>114</v>
      </c>
      <c r="V15" s="19" t="s">
        <v>103</v>
      </c>
      <c r="AD15" s="1">
        <v>3.8</v>
      </c>
      <c r="AE15" s="1">
        <v>96585.157894736854</v>
      </c>
    </row>
    <row r="16" spans="1:31" ht="27.6" x14ac:dyDescent="0.25">
      <c r="A16" s="4">
        <v>20102</v>
      </c>
      <c r="B16" s="4" t="s">
        <v>13</v>
      </c>
      <c r="C16" s="4" t="s">
        <v>75</v>
      </c>
      <c r="D16" s="5">
        <v>40302</v>
      </c>
      <c r="E16" s="4">
        <v>4</v>
      </c>
      <c r="F16" s="1">
        <v>1</v>
      </c>
      <c r="G16" s="8">
        <v>143215</v>
      </c>
      <c r="H16" s="1" t="str">
        <f>VLOOKUP(E16,'נתוני עזר'!$B$4:$C$7,2,FALSE)</f>
        <v>מס"ב</v>
      </c>
      <c r="I16" s="15">
        <f t="shared" si="0"/>
        <v>8592.9</v>
      </c>
      <c r="J16" s="1">
        <f t="shared" si="1"/>
        <v>8592.9</v>
      </c>
      <c r="K16" s="16">
        <f t="shared" si="2"/>
        <v>37395.027777777781</v>
      </c>
      <c r="L16" s="16">
        <f t="shared" si="4"/>
        <v>37395.027777777781</v>
      </c>
      <c r="M16" s="1" t="str">
        <f t="shared" si="3"/>
        <v>מאי</v>
      </c>
      <c r="N16" s="1">
        <f t="shared" si="5"/>
        <v>2010</v>
      </c>
      <c r="O16" s="6" t="s">
        <v>86</v>
      </c>
      <c r="P16" s="6" t="s">
        <v>94</v>
      </c>
      <c r="R16" s="17"/>
      <c r="S16" s="17"/>
      <c r="U16" s="21"/>
      <c r="V16" s="21" t="s">
        <v>113</v>
      </c>
    </row>
    <row r="17" spans="1:25" ht="13.8" x14ac:dyDescent="0.25">
      <c r="A17" s="4">
        <v>20126</v>
      </c>
      <c r="B17" s="4" t="s">
        <v>1</v>
      </c>
      <c r="C17" s="4" t="s">
        <v>76</v>
      </c>
      <c r="D17" s="5">
        <v>41212</v>
      </c>
      <c r="E17" s="4">
        <v>4</v>
      </c>
      <c r="F17" s="1">
        <v>4</v>
      </c>
      <c r="G17" s="8">
        <v>78785</v>
      </c>
      <c r="H17" s="1" t="str">
        <f>VLOOKUP(E17,'נתוני עזר'!$B$4:$C$7,2,FALSE)</f>
        <v>מס"ב</v>
      </c>
      <c r="I17" s="15">
        <f t="shared" si="0"/>
        <v>6302.8</v>
      </c>
      <c r="J17" s="1">
        <f t="shared" si="1"/>
        <v>6302.8</v>
      </c>
      <c r="K17" s="16">
        <f t="shared" si="2"/>
        <v>20133.944444444442</v>
      </c>
      <c r="L17" s="16">
        <f t="shared" si="4"/>
        <v>20133.944444444442</v>
      </c>
      <c r="M17" s="1" t="str">
        <f t="shared" si="3"/>
        <v>פברואר</v>
      </c>
      <c r="N17" s="1">
        <f t="shared" si="5"/>
        <v>2012</v>
      </c>
      <c r="O17" s="1" t="s">
        <v>68</v>
      </c>
      <c r="P17" s="1" t="s">
        <v>64</v>
      </c>
      <c r="R17" s="17"/>
      <c r="S17" s="17"/>
    </row>
    <row r="18" spans="1:25" ht="13.8" x14ac:dyDescent="0.25">
      <c r="A18" s="4">
        <v>20154</v>
      </c>
      <c r="B18" s="4" t="s">
        <v>18</v>
      </c>
      <c r="C18" s="4" t="s">
        <v>73</v>
      </c>
      <c r="D18" s="5">
        <v>41053</v>
      </c>
      <c r="E18" s="4">
        <v>3</v>
      </c>
      <c r="F18" s="1">
        <v>2</v>
      </c>
      <c r="G18" s="8">
        <v>134373</v>
      </c>
      <c r="H18" s="1" t="str">
        <f>VLOOKUP(E18,'נתוני עזר'!$B$4:$C$7,2,FALSE)</f>
        <v>צ'קים</v>
      </c>
      <c r="I18" s="15">
        <f t="shared" si="0"/>
        <v>10749.84</v>
      </c>
      <c r="J18" s="1">
        <f t="shared" si="1"/>
        <v>10749.84</v>
      </c>
      <c r="K18" s="16">
        <f t="shared" si="2"/>
        <v>34339.76666666667</v>
      </c>
      <c r="L18" s="16">
        <f t="shared" si="4"/>
        <v>34339.76666666667</v>
      </c>
      <c r="M18" s="1" t="str">
        <f t="shared" si="3"/>
        <v>ינואר</v>
      </c>
      <c r="N18" s="1">
        <f t="shared" si="5"/>
        <v>2012</v>
      </c>
      <c r="O18" s="1" t="s">
        <v>70</v>
      </c>
      <c r="P18" s="1" t="s">
        <v>64</v>
      </c>
      <c r="R18" s="17"/>
      <c r="S18" s="17"/>
    </row>
    <row r="19" spans="1:25" ht="13.8" x14ac:dyDescent="0.25">
      <c r="A19" s="4">
        <v>20128</v>
      </c>
      <c r="B19" s="4" t="s">
        <v>28</v>
      </c>
      <c r="C19" s="4" t="s">
        <v>68</v>
      </c>
      <c r="D19" s="5">
        <v>42769</v>
      </c>
      <c r="E19" s="4">
        <v>3</v>
      </c>
      <c r="F19" s="1">
        <v>5</v>
      </c>
      <c r="G19" s="8">
        <v>126383</v>
      </c>
      <c r="H19" s="1" t="str">
        <f>VLOOKUP(E19,'נתוני עזר'!$B$4:$C$7,2,FALSE)</f>
        <v>צ'קים</v>
      </c>
      <c r="I19" s="15">
        <f t="shared" si="0"/>
        <v>8846.8100000000013</v>
      </c>
      <c r="J19" s="1">
        <f t="shared" si="1"/>
        <v>8846.8100000000013</v>
      </c>
      <c r="K19" s="16">
        <f t="shared" si="2"/>
        <v>32648.941666666666</v>
      </c>
      <c r="L19" s="16">
        <f t="shared" si="4"/>
        <v>32648.941666666666</v>
      </c>
      <c r="M19" s="1" t="str">
        <f t="shared" si="3"/>
        <v>מאי</v>
      </c>
      <c r="N19" s="1">
        <f t="shared" si="5"/>
        <v>2017</v>
      </c>
      <c r="R19" s="17" t="s">
        <v>96</v>
      </c>
      <c r="S19" s="17" t="s">
        <v>97</v>
      </c>
      <c r="U19" s="19" t="s">
        <v>117</v>
      </c>
      <c r="V19" s="19" t="s">
        <v>106</v>
      </c>
    </row>
    <row r="20" spans="1:25" ht="13.8" x14ac:dyDescent="0.25">
      <c r="A20" s="4">
        <v>20120</v>
      </c>
      <c r="B20" s="4" t="s">
        <v>20</v>
      </c>
      <c r="C20" s="4" t="s">
        <v>68</v>
      </c>
      <c r="D20" s="5">
        <v>41949</v>
      </c>
      <c r="E20" s="4">
        <v>2</v>
      </c>
      <c r="F20" s="1">
        <v>5</v>
      </c>
      <c r="G20" s="8">
        <v>89915</v>
      </c>
      <c r="H20" s="1" t="str">
        <f>VLOOKUP(E20,'נתוני עזר'!$B$4:$C$7,2,FALSE)</f>
        <v>מזומן</v>
      </c>
      <c r="I20" s="15">
        <f t="shared" si="0"/>
        <v>8092.3499999999995</v>
      </c>
      <c r="J20" s="1">
        <f t="shared" si="1"/>
        <v>8092.3499999999995</v>
      </c>
      <c r="K20" s="16">
        <f t="shared" si="2"/>
        <v>22728.513888888887</v>
      </c>
      <c r="L20" s="16">
        <f t="shared" si="4"/>
        <v>22728.513888888887</v>
      </c>
      <c r="M20" s="1" t="str">
        <f t="shared" si="3"/>
        <v>מרץ</v>
      </c>
      <c r="N20" s="1">
        <f t="shared" si="5"/>
        <v>2014</v>
      </c>
      <c r="R20" s="17">
        <v>0</v>
      </c>
      <c r="S20" s="25">
        <v>7.0000000000000007E-2</v>
      </c>
      <c r="V20" s="27" t="s">
        <v>87</v>
      </c>
      <c r="W20" s="21"/>
      <c r="X20" s="21" t="s">
        <v>89</v>
      </c>
    </row>
    <row r="21" spans="1:25" ht="13.8" x14ac:dyDescent="0.25">
      <c r="A21" s="4">
        <v>20149</v>
      </c>
      <c r="B21" s="4" t="s">
        <v>23</v>
      </c>
      <c r="C21" s="4" t="s">
        <v>77</v>
      </c>
      <c r="D21" s="5">
        <v>40200</v>
      </c>
      <c r="E21" s="4">
        <v>4</v>
      </c>
      <c r="F21" s="1">
        <v>3</v>
      </c>
      <c r="G21" s="8">
        <v>55426</v>
      </c>
      <c r="H21" s="1" t="str">
        <f>VLOOKUP(E21,'נתוני עזר'!$B$4:$C$7,2,FALSE)</f>
        <v>מס"ב</v>
      </c>
      <c r="I21" s="15">
        <f t="shared" si="0"/>
        <v>3325.56</v>
      </c>
      <c r="J21" s="1">
        <f t="shared" si="1"/>
        <v>3325.56</v>
      </c>
      <c r="K21" s="16">
        <f t="shared" si="2"/>
        <v>14472.344444444445</v>
      </c>
      <c r="L21" s="16">
        <f t="shared" si="4"/>
        <v>14472.344444444445</v>
      </c>
      <c r="M21" s="1" t="str">
        <f t="shared" si="3"/>
        <v>אוגוסט</v>
      </c>
      <c r="N21" s="1">
        <f t="shared" si="5"/>
        <v>2010</v>
      </c>
      <c r="R21" s="17">
        <v>2009</v>
      </c>
      <c r="S21" s="25">
        <v>0.06</v>
      </c>
      <c r="V21" s="17" t="s">
        <v>116</v>
      </c>
      <c r="W21" s="17" t="b">
        <f>OR(YEAR(D2)=$W$24,YEAR(D2)=$W$25)</f>
        <v>0</v>
      </c>
      <c r="X21" s="17">
        <v>4</v>
      </c>
    </row>
    <row r="22" spans="1:25" ht="13.8" x14ac:dyDescent="0.25">
      <c r="A22" s="4">
        <v>20112</v>
      </c>
      <c r="B22" s="4" t="s">
        <v>30</v>
      </c>
      <c r="C22" s="4" t="s">
        <v>72</v>
      </c>
      <c r="D22" s="5">
        <v>39997</v>
      </c>
      <c r="E22" s="4">
        <v>1</v>
      </c>
      <c r="F22" s="1">
        <v>10</v>
      </c>
      <c r="G22" s="8">
        <v>146318</v>
      </c>
      <c r="H22" s="1" t="str">
        <f>VLOOKUP(E22,'נתוני עזר'!$B$4:$C$7,2,FALSE)</f>
        <v>העברה בנקאית</v>
      </c>
      <c r="I22" s="15">
        <f t="shared" si="0"/>
        <v>8779.08</v>
      </c>
      <c r="J22" s="1">
        <f t="shared" si="1"/>
        <v>8779.08</v>
      </c>
      <c r="K22" s="16">
        <f t="shared" si="2"/>
        <v>38205.255555555559</v>
      </c>
      <c r="L22" s="16">
        <f t="shared" si="4"/>
        <v>38205.255555555559</v>
      </c>
      <c r="M22" s="1" t="str">
        <f t="shared" si="3"/>
        <v>אוגוסט</v>
      </c>
      <c r="N22" s="1">
        <f t="shared" si="5"/>
        <v>2009</v>
      </c>
      <c r="R22" s="17">
        <v>2011</v>
      </c>
      <c r="S22" s="25">
        <v>0.08</v>
      </c>
    </row>
    <row r="23" spans="1:25" ht="13.8" x14ac:dyDescent="0.25">
      <c r="A23" s="4">
        <v>20113</v>
      </c>
      <c r="B23" s="4" t="s">
        <v>25</v>
      </c>
      <c r="C23" s="4" t="s">
        <v>73</v>
      </c>
      <c r="D23" s="5">
        <v>40360</v>
      </c>
      <c r="E23" s="4">
        <v>4</v>
      </c>
      <c r="F23" s="1">
        <v>5</v>
      </c>
      <c r="G23" s="8">
        <v>89582</v>
      </c>
      <c r="H23" s="1" t="str">
        <f>VLOOKUP(E23,'נתוני עזר'!$B$4:$C$7,2,FALSE)</f>
        <v>מס"ב</v>
      </c>
      <c r="I23" s="15">
        <f t="shared" si="0"/>
        <v>5374.92</v>
      </c>
      <c r="J23" s="1">
        <f t="shared" si="1"/>
        <v>5374.92</v>
      </c>
      <c r="K23" s="16">
        <f t="shared" si="2"/>
        <v>23390.855555555554</v>
      </c>
      <c r="L23" s="16">
        <f t="shared" si="4"/>
        <v>23390.855555555554</v>
      </c>
      <c r="M23" s="1" t="str">
        <f t="shared" si="3"/>
        <v>ינואר</v>
      </c>
      <c r="N23" s="1">
        <f t="shared" si="5"/>
        <v>2010</v>
      </c>
      <c r="R23" s="17">
        <v>2013</v>
      </c>
      <c r="S23" s="25">
        <v>0.09</v>
      </c>
      <c r="X23" s="19" t="s">
        <v>110</v>
      </c>
      <c r="Y23" s="19">
        <f>DCOUNT(A1:M65,A1,V20:X21)</f>
        <v>6</v>
      </c>
    </row>
    <row r="24" spans="1:25" ht="13.8" x14ac:dyDescent="0.25">
      <c r="A24" s="4">
        <v>20140</v>
      </c>
      <c r="B24" s="4" t="s">
        <v>16</v>
      </c>
      <c r="C24" s="4" t="s">
        <v>71</v>
      </c>
      <c r="D24" s="5">
        <v>41293</v>
      </c>
      <c r="E24" s="4">
        <v>4</v>
      </c>
      <c r="F24" s="1">
        <v>6</v>
      </c>
      <c r="G24" s="8">
        <v>76295</v>
      </c>
      <c r="H24" s="1" t="str">
        <f>VLOOKUP(E24,'נתוני עזר'!$B$4:$C$7,2,FALSE)</f>
        <v>מס"ב</v>
      </c>
      <c r="I24" s="15">
        <f t="shared" si="0"/>
        <v>6866.55</v>
      </c>
      <c r="J24" s="1">
        <f t="shared" si="1"/>
        <v>6866.55</v>
      </c>
      <c r="K24" s="16">
        <f t="shared" si="2"/>
        <v>19285.680555555555</v>
      </c>
      <c r="L24" s="16">
        <f t="shared" si="4"/>
        <v>19285.680555555555</v>
      </c>
      <c r="M24" s="1" t="str">
        <f t="shared" si="3"/>
        <v>אוקטובר</v>
      </c>
      <c r="N24" s="1">
        <f t="shared" si="5"/>
        <v>2013</v>
      </c>
      <c r="R24" s="17">
        <v>2015</v>
      </c>
      <c r="S24" s="25">
        <v>0.04</v>
      </c>
      <c r="W24" s="1">
        <v>2010</v>
      </c>
    </row>
    <row r="25" spans="1:25" ht="13.8" x14ac:dyDescent="0.25">
      <c r="A25" s="4">
        <v>20121</v>
      </c>
      <c r="B25" s="4" t="s">
        <v>6</v>
      </c>
      <c r="C25" s="4" t="s">
        <v>70</v>
      </c>
      <c r="D25" s="5">
        <v>39248</v>
      </c>
      <c r="E25" s="4">
        <v>1</v>
      </c>
      <c r="F25" s="1">
        <v>10</v>
      </c>
      <c r="G25" s="8">
        <v>71037</v>
      </c>
      <c r="H25" s="1" t="str">
        <f>VLOOKUP(E25,'נתוני עזר'!$B$4:$C$7,2,FALSE)</f>
        <v>העברה בנקאית</v>
      </c>
      <c r="I25" s="15">
        <f t="shared" si="0"/>
        <v>4972.59</v>
      </c>
      <c r="J25" s="1">
        <f t="shared" si="1"/>
        <v>4972.59</v>
      </c>
      <c r="K25" s="16">
        <f t="shared" si="2"/>
        <v>18351.225000000002</v>
      </c>
      <c r="L25" s="16">
        <f t="shared" si="4"/>
        <v>18351.225000000002</v>
      </c>
      <c r="M25" s="1" t="str">
        <f t="shared" si="3"/>
        <v>מרץ</v>
      </c>
      <c r="N25" s="1">
        <f t="shared" si="5"/>
        <v>2007</v>
      </c>
      <c r="R25" s="17">
        <v>2017</v>
      </c>
      <c r="S25" s="25">
        <v>7.0000000000000007E-2</v>
      </c>
      <c r="W25" s="1">
        <v>2012</v>
      </c>
    </row>
    <row r="26" spans="1:25" ht="13.8" x14ac:dyDescent="0.25">
      <c r="A26" s="4">
        <v>20155</v>
      </c>
      <c r="B26" s="4" t="s">
        <v>10</v>
      </c>
      <c r="C26" s="4" t="s">
        <v>76</v>
      </c>
      <c r="D26" s="5">
        <v>41402</v>
      </c>
      <c r="E26" s="4">
        <v>4</v>
      </c>
      <c r="F26" s="1">
        <v>2</v>
      </c>
      <c r="G26" s="8">
        <v>100268</v>
      </c>
      <c r="H26" s="1" t="str">
        <f>VLOOKUP(E26,'נתוני עזר'!$B$4:$C$7,2,FALSE)</f>
        <v>מס"ב</v>
      </c>
      <c r="I26" s="15">
        <f t="shared" si="0"/>
        <v>9024.119999999999</v>
      </c>
      <c r="J26" s="1">
        <f t="shared" si="1"/>
        <v>9024.119999999999</v>
      </c>
      <c r="K26" s="16">
        <f t="shared" si="2"/>
        <v>25345.522222222222</v>
      </c>
      <c r="L26" s="16">
        <f t="shared" si="4"/>
        <v>25345.522222222222</v>
      </c>
      <c r="M26" s="1" t="str">
        <f t="shared" si="3"/>
        <v>מאי</v>
      </c>
      <c r="N26" s="1">
        <f t="shared" si="5"/>
        <v>2013</v>
      </c>
      <c r="O26" s="19" t="s">
        <v>118</v>
      </c>
      <c r="P26" s="19" t="s">
        <v>103</v>
      </c>
      <c r="R26" s="17">
        <v>2019</v>
      </c>
      <c r="S26" s="25"/>
    </row>
    <row r="27" spans="1:25" ht="13.8" x14ac:dyDescent="0.25">
      <c r="A27" s="4">
        <v>20141</v>
      </c>
      <c r="B27" s="4" t="s">
        <v>27</v>
      </c>
      <c r="C27" s="4" t="s">
        <v>76</v>
      </c>
      <c r="D27" s="5">
        <v>42837</v>
      </c>
      <c r="E27" s="4">
        <v>3</v>
      </c>
      <c r="F27" s="1">
        <v>8</v>
      </c>
      <c r="G27" s="8">
        <v>174120</v>
      </c>
      <c r="H27" s="1" t="str">
        <f>VLOOKUP(E27,'נתוני עזר'!$B$4:$C$7,2,FALSE)</f>
        <v>צ'קים</v>
      </c>
      <c r="I27" s="15">
        <f t="shared" si="0"/>
        <v>12188.400000000001</v>
      </c>
      <c r="J27" s="1">
        <f t="shared" si="1"/>
        <v>12188.400000000001</v>
      </c>
      <c r="K27" s="16">
        <f t="shared" si="2"/>
        <v>44981</v>
      </c>
      <c r="L27" s="16">
        <f t="shared" si="4"/>
        <v>44981</v>
      </c>
      <c r="M27" s="1" t="str">
        <f t="shared" si="3"/>
        <v>פברואר</v>
      </c>
      <c r="N27" s="1">
        <f t="shared" si="5"/>
        <v>2017</v>
      </c>
      <c r="O27" s="21" t="s">
        <v>86</v>
      </c>
      <c r="P27" s="21" t="s">
        <v>119</v>
      </c>
      <c r="U27" s="19" t="s">
        <v>117</v>
      </c>
      <c r="V27" s="19" t="s">
        <v>103</v>
      </c>
      <c r="W27" s="17"/>
      <c r="X27" s="17"/>
    </row>
    <row r="28" spans="1:25" ht="13.8" x14ac:dyDescent="0.25">
      <c r="A28" s="4">
        <v>20124</v>
      </c>
      <c r="B28" s="4" t="s">
        <v>26</v>
      </c>
      <c r="C28" s="4" t="s">
        <v>74</v>
      </c>
      <c r="D28" s="5">
        <v>39693</v>
      </c>
      <c r="E28" s="4">
        <v>2</v>
      </c>
      <c r="F28" s="1">
        <v>9</v>
      </c>
      <c r="G28" s="8">
        <v>151094</v>
      </c>
      <c r="H28" s="1" t="str">
        <f>VLOOKUP(E28,'נתוני עזר'!$B$4:$C$7,2,FALSE)</f>
        <v>מזומן</v>
      </c>
      <c r="I28" s="15">
        <f t="shared" si="0"/>
        <v>10576.580000000002</v>
      </c>
      <c r="J28" s="1">
        <f t="shared" si="1"/>
        <v>10576.580000000002</v>
      </c>
      <c r="K28" s="16">
        <f t="shared" si="2"/>
        <v>39032.616666666661</v>
      </c>
      <c r="L28" s="16">
        <f t="shared" si="4"/>
        <v>39032.616666666661</v>
      </c>
      <c r="M28" s="1" t="str">
        <f t="shared" si="3"/>
        <v>נובמבר</v>
      </c>
      <c r="N28" s="1">
        <f t="shared" si="5"/>
        <v>2008</v>
      </c>
      <c r="O28" s="31" t="s">
        <v>74</v>
      </c>
      <c r="P28" s="18">
        <f>AVERAGEIF($C$2:$C$65,O28,$G$2:$G$65)</f>
        <v>128918.25</v>
      </c>
      <c r="U28" s="17"/>
      <c r="V28" s="17" t="s">
        <v>74</v>
      </c>
      <c r="W28" s="17"/>
      <c r="X28" s="17"/>
    </row>
    <row r="29" spans="1:25" ht="13.8" x14ac:dyDescent="0.25">
      <c r="A29" s="4">
        <v>20105</v>
      </c>
      <c r="B29" s="4" t="s">
        <v>66</v>
      </c>
      <c r="C29" s="4" t="s">
        <v>79</v>
      </c>
      <c r="D29" s="5">
        <v>42145</v>
      </c>
      <c r="E29" s="4">
        <v>3</v>
      </c>
      <c r="F29" s="1">
        <v>9</v>
      </c>
      <c r="G29" s="8">
        <v>80471</v>
      </c>
      <c r="H29" s="1" t="str">
        <f>VLOOKUP(E29,'נתוני עזר'!$B$4:$C$7,2,FALSE)</f>
        <v>צ'קים</v>
      </c>
      <c r="I29" s="15">
        <f t="shared" si="0"/>
        <v>3218.84</v>
      </c>
      <c r="J29" s="1">
        <f t="shared" si="1"/>
        <v>3218.84</v>
      </c>
      <c r="K29" s="16">
        <f t="shared" si="2"/>
        <v>21458.933333333334</v>
      </c>
      <c r="L29" s="16">
        <f t="shared" si="4"/>
        <v>21458.933333333334</v>
      </c>
      <c r="M29" s="1" t="str">
        <f t="shared" si="3"/>
        <v>ספטמבר</v>
      </c>
      <c r="N29" s="1">
        <f t="shared" si="5"/>
        <v>2015</v>
      </c>
      <c r="O29" s="31" t="s">
        <v>75</v>
      </c>
      <c r="P29" s="18">
        <f t="shared" ref="P29:P40" si="6">AVERAGEIF($C$2:$C$65,O29,$G$2:$G$65)</f>
        <v>140439.33333333334</v>
      </c>
      <c r="R29" s="19" t="s">
        <v>105</v>
      </c>
      <c r="S29" s="19" t="s">
        <v>106</v>
      </c>
      <c r="U29" s="17"/>
      <c r="V29" s="17">
        <v>4</v>
      </c>
      <c r="W29" s="17"/>
      <c r="X29" s="17"/>
    </row>
    <row r="30" spans="1:25" ht="13.8" x14ac:dyDescent="0.25">
      <c r="A30" s="4">
        <v>20142</v>
      </c>
      <c r="B30" s="4" t="s">
        <v>45</v>
      </c>
      <c r="C30" s="4" t="s">
        <v>78</v>
      </c>
      <c r="D30" s="5">
        <v>41870</v>
      </c>
      <c r="E30" s="4">
        <v>5</v>
      </c>
      <c r="F30" s="1">
        <v>10</v>
      </c>
      <c r="G30" s="8">
        <v>192182</v>
      </c>
      <c r="H30" s="1" t="e">
        <f>VLOOKUP(E30,'נתוני עזר'!$B$4:$C$7,2,FALSE)</f>
        <v>#N/A</v>
      </c>
      <c r="I30" s="15">
        <f t="shared" si="0"/>
        <v>17296.38</v>
      </c>
      <c r="J30" s="1">
        <f t="shared" si="1"/>
        <v>17296.38</v>
      </c>
      <c r="K30" s="16">
        <f t="shared" si="2"/>
        <v>48579.338888888888</v>
      </c>
      <c r="L30" s="16">
        <f t="shared" si="4"/>
        <v>48579.338888888888</v>
      </c>
      <c r="M30" s="1" t="str">
        <f t="shared" si="3"/>
        <v>דצמבר</v>
      </c>
      <c r="N30" s="1">
        <f t="shared" si="5"/>
        <v>2014</v>
      </c>
      <c r="O30" s="31" t="s">
        <v>77</v>
      </c>
      <c r="P30" s="18">
        <f t="shared" si="6"/>
        <v>111539.75</v>
      </c>
      <c r="S30" s="1" t="s">
        <v>99</v>
      </c>
      <c r="U30" s="17"/>
      <c r="V30" s="17">
        <v>5</v>
      </c>
      <c r="W30" s="17"/>
      <c r="X30" s="17"/>
    </row>
    <row r="31" spans="1:25" ht="13.8" x14ac:dyDescent="0.25">
      <c r="A31" s="4">
        <v>20115</v>
      </c>
      <c r="B31" s="4" t="s">
        <v>8</v>
      </c>
      <c r="C31" s="4" t="s">
        <v>68</v>
      </c>
      <c r="D31" s="5">
        <v>41844</v>
      </c>
      <c r="E31" s="4">
        <v>1</v>
      </c>
      <c r="F31" s="1">
        <v>2</v>
      </c>
      <c r="G31" s="8">
        <v>163171</v>
      </c>
      <c r="H31" s="1" t="str">
        <f>VLOOKUP(E31,'נתוני עזר'!$B$4:$C$7,2,FALSE)</f>
        <v>העברה בנקאית</v>
      </c>
      <c r="I31" s="15">
        <f t="shared" si="0"/>
        <v>14685.39</v>
      </c>
      <c r="J31" s="1">
        <f t="shared" si="1"/>
        <v>14685.39</v>
      </c>
      <c r="K31" s="16">
        <f t="shared" si="2"/>
        <v>41246.002777777772</v>
      </c>
      <c r="L31" s="16">
        <f t="shared" si="4"/>
        <v>41246.002777777772</v>
      </c>
      <c r="M31" s="1" t="str">
        <f t="shared" si="3"/>
        <v>דצמבר</v>
      </c>
      <c r="N31" s="1">
        <f t="shared" si="5"/>
        <v>2014</v>
      </c>
      <c r="O31" s="31" t="s">
        <v>80</v>
      </c>
      <c r="P31" s="18">
        <f t="shared" si="6"/>
        <v>165085.5</v>
      </c>
      <c r="S31" s="1">
        <v>3.6</v>
      </c>
      <c r="U31" s="17" t="b">
        <f>AND(OR(WEEKDAY(D2)=$V$29,WEEKDAY(D2)=$V$30),C2=$V$28)</f>
        <v>1</v>
      </c>
      <c r="V31" s="17"/>
      <c r="W31" s="19" t="s">
        <v>110</v>
      </c>
      <c r="X31" s="20">
        <f>DSUM(A1:M65,G1,U30:U31)</f>
        <v>58313</v>
      </c>
    </row>
    <row r="32" spans="1:25" ht="13.8" x14ac:dyDescent="0.25">
      <c r="A32" s="4">
        <v>20108</v>
      </c>
      <c r="B32" s="4" t="s">
        <v>15</v>
      </c>
      <c r="C32" s="4" t="s">
        <v>77</v>
      </c>
      <c r="D32" s="5">
        <v>41274</v>
      </c>
      <c r="E32" s="4">
        <v>4</v>
      </c>
      <c r="F32" s="1">
        <v>3</v>
      </c>
      <c r="G32" s="8">
        <v>135523</v>
      </c>
      <c r="H32" s="1" t="str">
        <f>VLOOKUP(E32,'נתוני עזר'!$B$4:$C$7,2,FALSE)</f>
        <v>מס"ב</v>
      </c>
      <c r="I32" s="15">
        <f t="shared" si="0"/>
        <v>10841.84</v>
      </c>
      <c r="J32" s="1">
        <f t="shared" si="1"/>
        <v>10841.84</v>
      </c>
      <c r="K32" s="16">
        <f t="shared" si="2"/>
        <v>34633.655555555553</v>
      </c>
      <c r="L32" s="16">
        <f t="shared" si="4"/>
        <v>34633.655555555553</v>
      </c>
      <c r="M32" s="1" t="str">
        <f t="shared" si="3"/>
        <v>אוקטובר</v>
      </c>
      <c r="N32" s="1">
        <f t="shared" si="5"/>
        <v>2012</v>
      </c>
      <c r="O32" s="31" t="s">
        <v>69</v>
      </c>
      <c r="P32" s="18">
        <f t="shared" si="6"/>
        <v>129950.83333333333</v>
      </c>
    </row>
    <row r="33" spans="1:24" ht="13.8" x14ac:dyDescent="0.25">
      <c r="A33" s="4">
        <v>20109</v>
      </c>
      <c r="B33" s="4" t="s">
        <v>4</v>
      </c>
      <c r="C33" s="4" t="s">
        <v>78</v>
      </c>
      <c r="D33" s="5">
        <v>43053</v>
      </c>
      <c r="E33" s="4">
        <v>5</v>
      </c>
      <c r="F33" s="1">
        <v>3</v>
      </c>
      <c r="G33" s="8">
        <v>151959</v>
      </c>
      <c r="H33" s="1" t="e">
        <f>VLOOKUP(E33,'נתוני עזר'!$B$4:$C$7,2,FALSE)</f>
        <v>#N/A</v>
      </c>
      <c r="I33" s="15">
        <f t="shared" si="0"/>
        <v>10637.130000000001</v>
      </c>
      <c r="J33" s="1">
        <f t="shared" si="1"/>
        <v>10637.130000000001</v>
      </c>
      <c r="K33" s="16">
        <f t="shared" si="2"/>
        <v>39256.074999999997</v>
      </c>
      <c r="L33" s="16">
        <f t="shared" si="4"/>
        <v>39256.074999999997</v>
      </c>
      <c r="M33" s="1" t="str">
        <f t="shared" si="3"/>
        <v>יוני</v>
      </c>
      <c r="N33" s="1">
        <f t="shared" si="5"/>
        <v>2017</v>
      </c>
      <c r="O33" s="31" t="s">
        <v>76</v>
      </c>
      <c r="P33" s="18">
        <f t="shared" si="6"/>
        <v>133972</v>
      </c>
    </row>
    <row r="34" spans="1:24" ht="13.8" x14ac:dyDescent="0.25">
      <c r="A34" s="4">
        <v>20110</v>
      </c>
      <c r="B34" s="4" t="s">
        <v>17</v>
      </c>
      <c r="C34" s="4" t="s">
        <v>69</v>
      </c>
      <c r="D34" s="5">
        <v>39899</v>
      </c>
      <c r="E34" s="4">
        <v>4</v>
      </c>
      <c r="F34" s="1">
        <v>3</v>
      </c>
      <c r="G34" s="8">
        <v>198056</v>
      </c>
      <c r="H34" s="1" t="str">
        <f>VLOOKUP(E34,'נתוני עזר'!$B$4:$C$7,2,FALSE)</f>
        <v>מס"ב</v>
      </c>
      <c r="I34" s="15">
        <f t="shared" ref="I34:I65" si="7">G34*IF(YEAR(D34)&lt;=$R$5,$S$14,IF(YEAR(D34)&lt;=$R$6,$S$6,IF(YEAR(D34)&lt;=$R$8,$S$8,IF(YEAR(D34)&lt;=$R$10,$S$10,IF(YEAR(D34)&lt;=$R$12,$S$12,$S$14)))))</f>
        <v>11883.359999999999</v>
      </c>
      <c r="J34" s="1">
        <f t="shared" ref="J34:J65" si="8">G34*VLOOKUP(YEAR(D34),$R$20:$S$26,2,TRUE)</f>
        <v>11883.359999999999</v>
      </c>
      <c r="K34" s="16">
        <f t="shared" ref="K34:K65" si="9">(G34-J34)/$S$31</f>
        <v>51714.622222222228</v>
      </c>
      <c r="L34" s="16">
        <f t="shared" si="4"/>
        <v>51714.622222222228</v>
      </c>
      <c r="M34" s="1" t="str">
        <f t="shared" ref="M34:M65" si="10">IF(L34=$V$16,$V$16,TEXT(L34,"mmmm"))</f>
        <v>אוגוסט</v>
      </c>
      <c r="N34" s="1">
        <f t="shared" si="5"/>
        <v>2009</v>
      </c>
      <c r="O34" s="31" t="s">
        <v>73</v>
      </c>
      <c r="P34" s="18">
        <f t="shared" si="6"/>
        <v>112306.8</v>
      </c>
    </row>
    <row r="35" spans="1:24" ht="13.8" x14ac:dyDescent="0.25">
      <c r="A35" s="4">
        <v>20122</v>
      </c>
      <c r="B35" s="4" t="s">
        <v>32</v>
      </c>
      <c r="C35" s="4" t="s">
        <v>68</v>
      </c>
      <c r="D35" s="5">
        <v>39730</v>
      </c>
      <c r="E35" s="4">
        <v>3</v>
      </c>
      <c r="F35" s="1">
        <v>2</v>
      </c>
      <c r="G35" s="8">
        <v>173625</v>
      </c>
      <c r="H35" s="1" t="str">
        <f>VLOOKUP(E35,'נתוני עזר'!$B$4:$C$7,2,FALSE)</f>
        <v>צ'קים</v>
      </c>
      <c r="I35" s="15">
        <f t="shared" si="7"/>
        <v>12153.750000000002</v>
      </c>
      <c r="J35" s="1">
        <f t="shared" si="8"/>
        <v>12153.750000000002</v>
      </c>
      <c r="K35" s="16">
        <f t="shared" si="9"/>
        <v>44853.125</v>
      </c>
      <c r="L35" s="16">
        <f t="shared" si="4"/>
        <v>44853.125</v>
      </c>
      <c r="M35" s="1" t="str">
        <f t="shared" si="10"/>
        <v>אוקטובר</v>
      </c>
      <c r="N35" s="1">
        <f t="shared" si="5"/>
        <v>2008</v>
      </c>
      <c r="O35" s="31" t="s">
        <v>70</v>
      </c>
      <c r="P35" s="18">
        <f t="shared" si="6"/>
        <v>109527.25</v>
      </c>
      <c r="R35" s="19" t="s">
        <v>105</v>
      </c>
      <c r="S35" s="19" t="s">
        <v>103</v>
      </c>
    </row>
    <row r="36" spans="1:24" ht="13.8" x14ac:dyDescent="0.25">
      <c r="A36" s="4">
        <v>20114</v>
      </c>
      <c r="B36" s="4" t="s">
        <v>19</v>
      </c>
      <c r="C36" s="4" t="s">
        <v>68</v>
      </c>
      <c r="D36" s="5">
        <v>42204</v>
      </c>
      <c r="E36" s="4">
        <v>2</v>
      </c>
      <c r="F36" s="1">
        <v>7</v>
      </c>
      <c r="G36" s="8">
        <v>78874</v>
      </c>
      <c r="H36" s="1" t="str">
        <f>VLOOKUP(E36,'נתוני עזר'!$B$4:$C$7,2,FALSE)</f>
        <v>מזומן</v>
      </c>
      <c r="I36" s="15">
        <f t="shared" si="7"/>
        <v>3154.96</v>
      </c>
      <c r="J36" s="1">
        <f t="shared" si="8"/>
        <v>3154.96</v>
      </c>
      <c r="K36" s="16">
        <f t="shared" si="9"/>
        <v>21033.066666666666</v>
      </c>
      <c r="L36" s="16">
        <f t="shared" si="4"/>
        <v>21033.066666666666</v>
      </c>
      <c r="M36" s="1" t="str">
        <f t="shared" si="10"/>
        <v>אוגוסט</v>
      </c>
      <c r="N36" s="1">
        <f t="shared" si="5"/>
        <v>2015</v>
      </c>
      <c r="O36" s="31" t="s">
        <v>68</v>
      </c>
      <c r="P36" s="18">
        <f t="shared" si="6"/>
        <v>116585.16666666667</v>
      </c>
      <c r="S36" s="26" t="s">
        <v>100</v>
      </c>
      <c r="T36" s="17"/>
      <c r="V36" s="19" t="s">
        <v>105</v>
      </c>
      <c r="W36" s="19" t="s">
        <v>107</v>
      </c>
    </row>
    <row r="37" spans="1:24" ht="13.8" x14ac:dyDescent="0.25">
      <c r="A37" s="4">
        <v>20156</v>
      </c>
      <c r="B37" s="4" t="s">
        <v>22</v>
      </c>
      <c r="C37" s="4" t="s">
        <v>73</v>
      </c>
      <c r="D37" s="5">
        <v>40991</v>
      </c>
      <c r="E37" s="4">
        <v>2</v>
      </c>
      <c r="F37" s="1">
        <v>1</v>
      </c>
      <c r="G37" s="8">
        <v>110947</v>
      </c>
      <c r="H37" s="1" t="str">
        <f>VLOOKUP(E37,'נתוני עזר'!$B$4:$C$7,2,FALSE)</f>
        <v>מזומן</v>
      </c>
      <c r="I37" s="15">
        <f t="shared" si="7"/>
        <v>8875.76</v>
      </c>
      <c r="J37" s="1">
        <f t="shared" si="8"/>
        <v>8875.76</v>
      </c>
      <c r="K37" s="16">
        <f t="shared" si="9"/>
        <v>28353.122222222224</v>
      </c>
      <c r="L37" s="16">
        <f t="shared" si="4"/>
        <v>28353.122222222224</v>
      </c>
      <c r="M37" s="1" t="str">
        <f t="shared" si="10"/>
        <v>אוגוסט</v>
      </c>
      <c r="N37" s="1">
        <f t="shared" si="5"/>
        <v>2012</v>
      </c>
      <c r="O37" s="31" t="s">
        <v>71</v>
      </c>
      <c r="P37" s="18">
        <f t="shared" si="6"/>
        <v>131337.4</v>
      </c>
      <c r="S37" s="17"/>
      <c r="T37" s="17"/>
      <c r="W37" s="27"/>
      <c r="X37" s="22">
        <f>T46</f>
        <v>101951</v>
      </c>
    </row>
    <row r="38" spans="1:24" ht="13.8" x14ac:dyDescent="0.25">
      <c r="A38" s="4">
        <v>20125</v>
      </c>
      <c r="B38" s="4" t="s">
        <v>39</v>
      </c>
      <c r="C38" s="4" t="s">
        <v>80</v>
      </c>
      <c r="D38" s="5">
        <v>38782</v>
      </c>
      <c r="E38" s="4">
        <v>3</v>
      </c>
      <c r="F38" s="1">
        <v>4</v>
      </c>
      <c r="G38" s="8">
        <v>194622</v>
      </c>
      <c r="H38" s="1" t="str">
        <f>VLOOKUP(E38,'נתוני עזר'!$B$4:$C$7,2,FALSE)</f>
        <v>צ'קים</v>
      </c>
      <c r="I38" s="15">
        <f t="shared" si="7"/>
        <v>13623.54</v>
      </c>
      <c r="J38" s="1">
        <f t="shared" si="8"/>
        <v>13623.54</v>
      </c>
      <c r="K38" s="16">
        <f t="shared" si="9"/>
        <v>50277.35</v>
      </c>
      <c r="L38" s="16">
        <f t="shared" si="4"/>
        <v>50277.35</v>
      </c>
      <c r="M38" s="1" t="str">
        <f t="shared" si="10"/>
        <v>אוגוסט</v>
      </c>
      <c r="N38" s="1">
        <f t="shared" si="5"/>
        <v>2006</v>
      </c>
      <c r="O38" s="31" t="s">
        <v>72</v>
      </c>
      <c r="P38" s="18">
        <f t="shared" si="6"/>
        <v>135646.33333333334</v>
      </c>
      <c r="S38" s="17"/>
      <c r="T38" s="17"/>
      <c r="W38" s="21">
        <v>3</v>
      </c>
      <c r="X38" s="23">
        <f t="dataTable" ref="X38:X46" dt2D="0" dtr="0" r1="S31" ca="1"/>
        <v>122341.2</v>
      </c>
    </row>
    <row r="39" spans="1:24" ht="13.8" x14ac:dyDescent="0.25">
      <c r="A39" s="4">
        <v>20132</v>
      </c>
      <c r="B39" s="4" t="s">
        <v>43</v>
      </c>
      <c r="C39" s="4" t="s">
        <v>78</v>
      </c>
      <c r="D39" s="5">
        <v>40782</v>
      </c>
      <c r="E39" s="4">
        <v>5</v>
      </c>
      <c r="F39" s="1">
        <v>4</v>
      </c>
      <c r="G39" s="8">
        <v>133542</v>
      </c>
      <c r="H39" s="1" t="e">
        <f>VLOOKUP(E39,'נתוני עזר'!$B$4:$C$7,2,FALSE)</f>
        <v>#N/A</v>
      </c>
      <c r="I39" s="15">
        <f t="shared" si="7"/>
        <v>10683.36</v>
      </c>
      <c r="J39" s="1">
        <f t="shared" si="8"/>
        <v>10683.36</v>
      </c>
      <c r="K39" s="16">
        <f t="shared" si="9"/>
        <v>34127.4</v>
      </c>
      <c r="L39" s="16">
        <f t="shared" si="4"/>
        <v>34127.4</v>
      </c>
      <c r="M39" s="1" t="str">
        <f t="shared" si="10"/>
        <v>יוני</v>
      </c>
      <c r="N39" s="1">
        <f t="shared" si="5"/>
        <v>2011</v>
      </c>
      <c r="O39" s="31" t="s">
        <v>79</v>
      </c>
      <c r="P39" s="18">
        <f t="shared" si="6"/>
        <v>133020</v>
      </c>
      <c r="S39" s="17"/>
      <c r="T39" s="17" t="s">
        <v>68</v>
      </c>
      <c r="W39" s="21">
        <v>3.1</v>
      </c>
      <c r="X39" s="23">
        <v>118394.70967741933</v>
      </c>
    </row>
    <row r="40" spans="1:24" ht="13.8" x14ac:dyDescent="0.25">
      <c r="A40" s="4">
        <v>20133</v>
      </c>
      <c r="B40" s="4" t="s">
        <v>35</v>
      </c>
      <c r="C40" s="4" t="s">
        <v>68</v>
      </c>
      <c r="D40" s="5">
        <v>41646</v>
      </c>
      <c r="E40" s="4">
        <v>3</v>
      </c>
      <c r="F40" s="1">
        <v>10</v>
      </c>
      <c r="G40" s="8">
        <v>75605</v>
      </c>
      <c r="H40" s="1" t="str">
        <f>VLOOKUP(E40,'נתוני עזר'!$B$4:$C$7,2,FALSE)</f>
        <v>צ'קים</v>
      </c>
      <c r="I40" s="15">
        <f t="shared" si="7"/>
        <v>6804.45</v>
      </c>
      <c r="J40" s="1">
        <f t="shared" si="8"/>
        <v>6804.45</v>
      </c>
      <c r="K40" s="16">
        <f t="shared" si="9"/>
        <v>19111.263888888891</v>
      </c>
      <c r="L40" s="16">
        <f t="shared" si="4"/>
        <v>19111.263888888891</v>
      </c>
      <c r="M40" s="1" t="str">
        <f t="shared" si="10"/>
        <v>אפריל</v>
      </c>
      <c r="N40" s="1">
        <f t="shared" si="5"/>
        <v>2014</v>
      </c>
      <c r="O40" s="31" t="s">
        <v>78</v>
      </c>
      <c r="P40" s="18">
        <f t="shared" si="6"/>
        <v>143793.4</v>
      </c>
      <c r="S40" s="17"/>
      <c r="T40" s="17">
        <v>2007</v>
      </c>
      <c r="W40" s="21">
        <v>3.2</v>
      </c>
      <c r="X40" s="23">
        <v>114694.87499999999</v>
      </c>
    </row>
    <row r="41" spans="1:24" ht="13.8" x14ac:dyDescent="0.25">
      <c r="A41" s="4">
        <v>20123</v>
      </c>
      <c r="B41" s="4" t="s">
        <v>37</v>
      </c>
      <c r="C41" s="4" t="s">
        <v>75</v>
      </c>
      <c r="D41" s="5">
        <v>42394</v>
      </c>
      <c r="E41" s="4">
        <v>4</v>
      </c>
      <c r="F41" s="1">
        <v>5</v>
      </c>
      <c r="G41" s="8">
        <v>165842</v>
      </c>
      <c r="H41" s="1" t="str">
        <f>VLOOKUP(E41,'נתוני עזר'!$B$4:$C$7,2,FALSE)</f>
        <v>מס"ב</v>
      </c>
      <c r="I41" s="15">
        <f t="shared" si="7"/>
        <v>6633.68</v>
      </c>
      <c r="J41" s="1">
        <f t="shared" si="8"/>
        <v>6633.68</v>
      </c>
      <c r="K41" s="16">
        <f t="shared" si="9"/>
        <v>44224.533333333333</v>
      </c>
      <c r="L41" s="16">
        <f t="shared" si="4"/>
        <v>44224.533333333333</v>
      </c>
      <c r="M41" s="1" t="str">
        <f t="shared" si="10"/>
        <v>ינואר</v>
      </c>
      <c r="N41" s="1">
        <f t="shared" si="5"/>
        <v>2016</v>
      </c>
      <c r="O41"/>
      <c r="S41" s="17"/>
      <c r="T41" s="17">
        <v>2012</v>
      </c>
      <c r="W41" s="21">
        <v>3.3</v>
      </c>
      <c r="X41" s="23">
        <v>111219.27272727274</v>
      </c>
    </row>
    <row r="42" spans="1:24" ht="13.8" x14ac:dyDescent="0.25">
      <c r="A42" s="4">
        <v>20150</v>
      </c>
      <c r="B42" s="4" t="s">
        <v>42</v>
      </c>
      <c r="C42" s="4" t="s">
        <v>68</v>
      </c>
      <c r="D42" s="5">
        <v>39651</v>
      </c>
      <c r="E42" s="4">
        <v>1</v>
      </c>
      <c r="F42" s="1">
        <v>1</v>
      </c>
      <c r="G42" s="8">
        <v>67325</v>
      </c>
      <c r="H42" s="1" t="str">
        <f>VLOOKUP(E42,'נתוני עזר'!$B$4:$C$7,2,FALSE)</f>
        <v>העברה בנקאית</v>
      </c>
      <c r="I42" s="15">
        <f t="shared" si="7"/>
        <v>4712.75</v>
      </c>
      <c r="J42" s="1">
        <f t="shared" si="8"/>
        <v>4712.75</v>
      </c>
      <c r="K42" s="16">
        <f t="shared" si="9"/>
        <v>17392.291666666668</v>
      </c>
      <c r="L42" s="16">
        <f t="shared" si="4"/>
        <v>17392.291666666668</v>
      </c>
      <c r="M42" s="1" t="str">
        <f t="shared" si="10"/>
        <v>אוגוסט</v>
      </c>
      <c r="N42" s="1">
        <f t="shared" si="5"/>
        <v>2008</v>
      </c>
      <c r="O42"/>
      <c r="S42" s="17"/>
      <c r="T42" s="17"/>
      <c r="W42" s="21">
        <v>3.4</v>
      </c>
      <c r="X42" s="23">
        <v>107948.11764705883</v>
      </c>
    </row>
    <row r="43" spans="1:24" ht="13.8" x14ac:dyDescent="0.25">
      <c r="A43" s="4">
        <v>20127</v>
      </c>
      <c r="B43" s="4" t="s">
        <v>40</v>
      </c>
      <c r="C43" s="4" t="s">
        <v>69</v>
      </c>
      <c r="D43" s="5">
        <v>38857</v>
      </c>
      <c r="E43" s="4">
        <v>3</v>
      </c>
      <c r="F43" s="1">
        <v>6</v>
      </c>
      <c r="G43" s="8">
        <v>128037</v>
      </c>
      <c r="H43" s="1" t="str">
        <f>VLOOKUP(E43,'נתוני עזר'!$B$4:$C$7,2,FALSE)</f>
        <v>צ'קים</v>
      </c>
      <c r="I43" s="15">
        <f t="shared" si="7"/>
        <v>8962.59</v>
      </c>
      <c r="J43" s="1">
        <f t="shared" si="8"/>
        <v>8962.59</v>
      </c>
      <c r="K43" s="16">
        <f t="shared" si="9"/>
        <v>33076.224999999999</v>
      </c>
      <c r="L43" s="16">
        <f t="shared" si="4"/>
        <v>33076.224999999999</v>
      </c>
      <c r="M43" s="1" t="str">
        <f t="shared" si="10"/>
        <v>יולי</v>
      </c>
      <c r="N43" s="1">
        <f t="shared" si="5"/>
        <v>2006</v>
      </c>
      <c r="O43"/>
      <c r="S43" s="17"/>
      <c r="T43" s="17"/>
      <c r="W43" s="21">
        <v>3.5</v>
      </c>
      <c r="X43" s="23">
        <v>104863.88571428572</v>
      </c>
    </row>
    <row r="44" spans="1:24" ht="13.8" x14ac:dyDescent="0.25">
      <c r="A44" s="4">
        <v>20111</v>
      </c>
      <c r="B44" s="4" t="s">
        <v>38</v>
      </c>
      <c r="C44" s="4" t="s">
        <v>76</v>
      </c>
      <c r="D44" s="5">
        <v>42187</v>
      </c>
      <c r="E44" s="4">
        <v>1</v>
      </c>
      <c r="F44" s="1">
        <v>1</v>
      </c>
      <c r="G44" s="8">
        <v>183655</v>
      </c>
      <c r="H44" s="1" t="str">
        <f>VLOOKUP(E44,'נתוני עזר'!$B$4:$C$7,2,FALSE)</f>
        <v>העברה בנקאית</v>
      </c>
      <c r="I44" s="15">
        <f t="shared" si="7"/>
        <v>7346.2</v>
      </c>
      <c r="J44" s="1">
        <f t="shared" si="8"/>
        <v>7346.2</v>
      </c>
      <c r="K44" s="16">
        <f t="shared" si="9"/>
        <v>48974.666666666664</v>
      </c>
      <c r="L44" s="16">
        <f t="shared" si="4"/>
        <v>48974.666666666664</v>
      </c>
      <c r="M44" s="1" t="str">
        <f t="shared" si="10"/>
        <v>ינואר</v>
      </c>
      <c r="N44" s="1">
        <f t="shared" si="5"/>
        <v>2015</v>
      </c>
      <c r="O44"/>
      <c r="S44" s="17"/>
      <c r="T44" s="17" t="b">
        <f>AND(OR(YEAR(D2)=$T$40,YEAR(D2)=$T$41),C2=$T$39)</f>
        <v>0</v>
      </c>
      <c r="W44" s="21">
        <v>3.6</v>
      </c>
      <c r="X44" s="23">
        <v>101951</v>
      </c>
    </row>
    <row r="45" spans="1:24" ht="13.8" x14ac:dyDescent="0.25">
      <c r="A45" s="4">
        <v>20151</v>
      </c>
      <c r="B45" s="4" t="s">
        <v>36</v>
      </c>
      <c r="C45" s="4" t="s">
        <v>77</v>
      </c>
      <c r="D45" s="5">
        <v>40368</v>
      </c>
      <c r="E45" s="4">
        <v>1</v>
      </c>
      <c r="F45" s="1">
        <v>7</v>
      </c>
      <c r="G45" s="8">
        <v>69698</v>
      </c>
      <c r="H45" s="1" t="str">
        <f>VLOOKUP(E45,'נתוני עזר'!$B$4:$C$7,2,FALSE)</f>
        <v>העברה בנקאית</v>
      </c>
      <c r="I45" s="15">
        <f t="shared" si="7"/>
        <v>4181.88</v>
      </c>
      <c r="J45" s="1">
        <f t="shared" si="8"/>
        <v>4181.88</v>
      </c>
      <c r="K45" s="16">
        <f t="shared" si="9"/>
        <v>18198.922222222223</v>
      </c>
      <c r="L45" s="16">
        <f t="shared" si="4"/>
        <v>18198.922222222223</v>
      </c>
      <c r="M45" s="1" t="str">
        <f t="shared" si="10"/>
        <v>אוקטובר</v>
      </c>
      <c r="N45" s="1">
        <f t="shared" si="5"/>
        <v>2010</v>
      </c>
      <c r="O45"/>
      <c r="S45" s="17"/>
      <c r="T45" s="17"/>
      <c r="W45" s="21">
        <v>3.7</v>
      </c>
      <c r="X45" s="23">
        <v>99195.567567567559</v>
      </c>
    </row>
    <row r="46" spans="1:24" ht="13.8" x14ac:dyDescent="0.25">
      <c r="A46" s="4">
        <v>20152</v>
      </c>
      <c r="B46" s="4" t="s">
        <v>41</v>
      </c>
      <c r="C46" s="4" t="s">
        <v>69</v>
      </c>
      <c r="D46" s="5">
        <v>39430</v>
      </c>
      <c r="E46" s="4">
        <v>3</v>
      </c>
      <c r="F46" s="1">
        <v>9</v>
      </c>
      <c r="G46" s="8">
        <v>157573</v>
      </c>
      <c r="H46" s="1" t="str">
        <f>VLOOKUP(E46,'נתוני עזר'!$B$4:$C$7,2,FALSE)</f>
        <v>צ'קים</v>
      </c>
      <c r="I46" s="15">
        <f t="shared" si="7"/>
        <v>11030.11</v>
      </c>
      <c r="J46" s="1">
        <f t="shared" si="8"/>
        <v>11030.11</v>
      </c>
      <c r="K46" s="16">
        <f t="shared" si="9"/>
        <v>40706.358333333337</v>
      </c>
      <c r="L46" s="16">
        <f t="shared" si="4"/>
        <v>40706.358333333337</v>
      </c>
      <c r="M46" s="1" t="str">
        <f t="shared" si="10"/>
        <v>יוני</v>
      </c>
      <c r="N46" s="1">
        <f t="shared" si="5"/>
        <v>2007</v>
      </c>
      <c r="O46"/>
      <c r="S46" s="19" t="s">
        <v>102</v>
      </c>
      <c r="T46" s="20">
        <f>DSUM(A1:K65,K1,T43:T44)</f>
        <v>101951</v>
      </c>
      <c r="W46" s="21">
        <v>3.8</v>
      </c>
      <c r="X46" s="23">
        <v>96585.157894736854</v>
      </c>
    </row>
    <row r="47" spans="1:24" ht="13.8" x14ac:dyDescent="0.25">
      <c r="A47" s="4">
        <v>20134</v>
      </c>
      <c r="B47" s="4" t="s">
        <v>56</v>
      </c>
      <c r="C47" s="4" t="s">
        <v>72</v>
      </c>
      <c r="D47" s="5">
        <v>39708</v>
      </c>
      <c r="E47" s="4">
        <v>3</v>
      </c>
      <c r="F47" s="1">
        <v>1</v>
      </c>
      <c r="G47" s="8">
        <v>79729</v>
      </c>
      <c r="H47" s="1" t="str">
        <f>VLOOKUP(E47,'נתוני עזר'!$B$4:$C$7,2,FALSE)</f>
        <v>צ'קים</v>
      </c>
      <c r="I47" s="15">
        <f t="shared" si="7"/>
        <v>5581.0300000000007</v>
      </c>
      <c r="J47" s="1">
        <f t="shared" si="8"/>
        <v>5581.0300000000007</v>
      </c>
      <c r="K47" s="16">
        <f t="shared" si="9"/>
        <v>20596.658333333333</v>
      </c>
      <c r="L47" s="16">
        <f t="shared" si="4"/>
        <v>20596.658333333333</v>
      </c>
      <c r="M47" s="1" t="str">
        <f t="shared" si="10"/>
        <v>מאי</v>
      </c>
      <c r="N47" s="1">
        <f t="shared" si="5"/>
        <v>2008</v>
      </c>
      <c r="O47"/>
    </row>
    <row r="48" spans="1:24" ht="13.8" x14ac:dyDescent="0.25">
      <c r="A48" s="4">
        <v>20157</v>
      </c>
      <c r="B48" s="4" t="s">
        <v>51</v>
      </c>
      <c r="C48" s="4" t="s">
        <v>70</v>
      </c>
      <c r="D48" s="5">
        <v>38876</v>
      </c>
      <c r="E48" s="4">
        <v>2</v>
      </c>
      <c r="F48" s="1">
        <v>9</v>
      </c>
      <c r="G48" s="8">
        <v>75869</v>
      </c>
      <c r="H48" s="1" t="str">
        <f>VLOOKUP(E48,'נתוני עזר'!$B$4:$C$7,2,FALSE)</f>
        <v>מזומן</v>
      </c>
      <c r="I48" s="15">
        <f t="shared" si="7"/>
        <v>5310.8300000000008</v>
      </c>
      <c r="J48" s="1">
        <f t="shared" si="8"/>
        <v>5310.8300000000008</v>
      </c>
      <c r="K48" s="16">
        <f t="shared" si="9"/>
        <v>19599.491666666665</v>
      </c>
      <c r="L48" s="16">
        <f t="shared" si="4"/>
        <v>19599.491666666665</v>
      </c>
      <c r="M48" s="1" t="str">
        <f t="shared" si="10"/>
        <v>אוגוסט</v>
      </c>
      <c r="N48" s="1">
        <f t="shared" si="5"/>
        <v>2006</v>
      </c>
      <c r="O48"/>
    </row>
    <row r="49" spans="1:20" ht="13.8" x14ac:dyDescent="0.25">
      <c r="A49" s="4">
        <v>20158</v>
      </c>
      <c r="B49" s="4" t="s">
        <v>55</v>
      </c>
      <c r="C49" s="4" t="s">
        <v>68</v>
      </c>
      <c r="D49" s="5">
        <v>39287</v>
      </c>
      <c r="E49" s="4">
        <v>3</v>
      </c>
      <c r="F49" s="1">
        <v>6</v>
      </c>
      <c r="G49" s="8">
        <v>124264</v>
      </c>
      <c r="H49" s="1" t="str">
        <f>VLOOKUP(E49,'נתוני עזר'!$B$4:$C$7,2,FALSE)</f>
        <v>צ'קים</v>
      </c>
      <c r="I49" s="15">
        <f t="shared" si="7"/>
        <v>8698.4800000000014</v>
      </c>
      <c r="J49" s="1">
        <f t="shared" si="8"/>
        <v>8698.4800000000014</v>
      </c>
      <c r="K49" s="16">
        <f t="shared" si="9"/>
        <v>32101.533333333333</v>
      </c>
      <c r="L49" s="16">
        <f t="shared" si="4"/>
        <v>32101.533333333333</v>
      </c>
      <c r="M49" s="1" t="str">
        <f t="shared" si="10"/>
        <v>נובמבר</v>
      </c>
      <c r="N49" s="1">
        <f t="shared" si="5"/>
        <v>2007</v>
      </c>
      <c r="O49"/>
    </row>
    <row r="50" spans="1:20" ht="13.8" x14ac:dyDescent="0.25">
      <c r="A50" s="4">
        <v>20118</v>
      </c>
      <c r="B50" s="4" t="s">
        <v>57</v>
      </c>
      <c r="C50" s="4" t="s">
        <v>78</v>
      </c>
      <c r="D50" s="5">
        <v>41536</v>
      </c>
      <c r="E50" s="4">
        <v>4</v>
      </c>
      <c r="F50" s="1">
        <v>5</v>
      </c>
      <c r="G50" s="8">
        <v>61489</v>
      </c>
      <c r="H50" s="1" t="str">
        <f>VLOOKUP(E50,'נתוני עזר'!$B$4:$C$7,2,FALSE)</f>
        <v>מס"ב</v>
      </c>
      <c r="I50" s="15">
        <f t="shared" si="7"/>
        <v>5534.01</v>
      </c>
      <c r="J50" s="1">
        <f t="shared" si="8"/>
        <v>5534.01</v>
      </c>
      <c r="K50" s="16">
        <f t="shared" si="9"/>
        <v>15543.052777777777</v>
      </c>
      <c r="L50" s="16">
        <f t="shared" si="4"/>
        <v>15543.052777777777</v>
      </c>
      <c r="M50" s="1" t="str">
        <f t="shared" si="10"/>
        <v>יולי</v>
      </c>
      <c r="N50" s="1">
        <f t="shared" si="5"/>
        <v>2013</v>
      </c>
      <c r="O50"/>
    </row>
    <row r="51" spans="1:20" ht="13.8" x14ac:dyDescent="0.25">
      <c r="A51" s="4">
        <v>20143</v>
      </c>
      <c r="B51" s="4" t="s">
        <v>46</v>
      </c>
      <c r="C51" s="4" t="s">
        <v>71</v>
      </c>
      <c r="D51" s="5">
        <v>38966</v>
      </c>
      <c r="E51" s="4">
        <v>2</v>
      </c>
      <c r="F51" s="1">
        <v>5</v>
      </c>
      <c r="G51" s="8">
        <v>199670</v>
      </c>
      <c r="H51" s="1" t="str">
        <f>VLOOKUP(E51,'נתוני עזר'!$B$4:$C$7,2,FALSE)</f>
        <v>מזומן</v>
      </c>
      <c r="I51" s="15">
        <f t="shared" si="7"/>
        <v>13976.900000000001</v>
      </c>
      <c r="J51" s="1">
        <f t="shared" si="8"/>
        <v>13976.900000000001</v>
      </c>
      <c r="K51" s="16">
        <f t="shared" si="9"/>
        <v>51581.416666666664</v>
      </c>
      <c r="L51" s="16">
        <f t="shared" si="4"/>
        <v>51581.416666666664</v>
      </c>
      <c r="M51" s="1" t="str">
        <f t="shared" si="10"/>
        <v>מרץ</v>
      </c>
      <c r="N51" s="1">
        <f t="shared" si="5"/>
        <v>2006</v>
      </c>
      <c r="O51"/>
    </row>
    <row r="52" spans="1:20" ht="13.8" x14ac:dyDescent="0.25">
      <c r="A52" s="4">
        <v>20129</v>
      </c>
      <c r="B52" s="4" t="s">
        <v>53</v>
      </c>
      <c r="C52" s="4" t="s">
        <v>79</v>
      </c>
      <c r="D52" s="5">
        <v>42361</v>
      </c>
      <c r="E52" s="4">
        <v>3</v>
      </c>
      <c r="F52" s="1">
        <v>9</v>
      </c>
      <c r="G52" s="8">
        <v>160646</v>
      </c>
      <c r="H52" s="1" t="str">
        <f>VLOOKUP(E52,'נתוני עזר'!$B$4:$C$7,2,FALSE)</f>
        <v>צ'קים</v>
      </c>
      <c r="I52" s="15">
        <f t="shared" si="7"/>
        <v>6425.84</v>
      </c>
      <c r="J52" s="1">
        <f t="shared" si="8"/>
        <v>6425.84</v>
      </c>
      <c r="K52" s="16">
        <f t="shared" si="9"/>
        <v>42838.933333333334</v>
      </c>
      <c r="L52" s="16">
        <f t="shared" si="4"/>
        <v>42838.933333333334</v>
      </c>
      <c r="M52" s="1" t="str">
        <f t="shared" si="10"/>
        <v>אפריל</v>
      </c>
      <c r="N52" s="1">
        <f t="shared" si="5"/>
        <v>2015</v>
      </c>
      <c r="O52"/>
    </row>
    <row r="53" spans="1:20" ht="13.8" x14ac:dyDescent="0.25">
      <c r="A53" s="4">
        <v>20159</v>
      </c>
      <c r="B53" s="4" t="s">
        <v>47</v>
      </c>
      <c r="C53" s="4" t="s">
        <v>70</v>
      </c>
      <c r="D53" s="5">
        <v>39688</v>
      </c>
      <c r="E53" s="4">
        <v>4</v>
      </c>
      <c r="F53" s="1">
        <v>10</v>
      </c>
      <c r="G53" s="8">
        <v>188588</v>
      </c>
      <c r="H53" s="1" t="str">
        <f>VLOOKUP(E53,'נתוני עזר'!$B$4:$C$7,2,FALSE)</f>
        <v>מס"ב</v>
      </c>
      <c r="I53" s="15">
        <f t="shared" si="7"/>
        <v>13201.160000000002</v>
      </c>
      <c r="J53" s="1">
        <f t="shared" si="8"/>
        <v>13201.160000000002</v>
      </c>
      <c r="K53" s="16">
        <f t="shared" si="9"/>
        <v>48718.566666666666</v>
      </c>
      <c r="L53" s="16">
        <f t="shared" si="4"/>
        <v>48718.566666666666</v>
      </c>
      <c r="M53" s="1" t="str">
        <f t="shared" si="10"/>
        <v>מאי</v>
      </c>
      <c r="N53" s="1">
        <f t="shared" si="5"/>
        <v>2008</v>
      </c>
      <c r="O53"/>
      <c r="R53" s="19" t="s">
        <v>114</v>
      </c>
      <c r="S53" s="19" t="s">
        <v>107</v>
      </c>
    </row>
    <row r="54" spans="1:20" ht="13.8" x14ac:dyDescent="0.25">
      <c r="A54" s="4">
        <v>20144</v>
      </c>
      <c r="B54" s="4" t="s">
        <v>44</v>
      </c>
      <c r="C54" s="4" t="s">
        <v>68</v>
      </c>
      <c r="D54" s="5">
        <v>43084</v>
      </c>
      <c r="E54" s="4">
        <v>2</v>
      </c>
      <c r="F54" s="1">
        <v>9</v>
      </c>
      <c r="G54" s="8">
        <v>161030</v>
      </c>
      <c r="H54" s="1" t="str">
        <f>VLOOKUP(E54,'נתוני עזר'!$B$4:$C$7,2,FALSE)</f>
        <v>מזומן</v>
      </c>
      <c r="I54" s="15">
        <f t="shared" si="7"/>
        <v>11272.1</v>
      </c>
      <c r="J54" s="1">
        <f t="shared" si="8"/>
        <v>11272.1</v>
      </c>
      <c r="K54" s="16">
        <f t="shared" si="9"/>
        <v>41599.416666666664</v>
      </c>
      <c r="L54" s="16">
        <f t="shared" si="4"/>
        <v>41599.416666666664</v>
      </c>
      <c r="M54" s="1" t="str">
        <f t="shared" si="10"/>
        <v>נובמבר</v>
      </c>
      <c r="N54" s="1">
        <f t="shared" si="5"/>
        <v>2017</v>
      </c>
      <c r="O54"/>
      <c r="S54" s="30">
        <v>40179</v>
      </c>
      <c r="T54" s="21">
        <f t="array" ref="T54:T58">FREQUENCY(D2:D65,S54:S58)</f>
        <v>25</v>
      </c>
    </row>
    <row r="55" spans="1:20" ht="13.8" x14ac:dyDescent="0.25">
      <c r="A55" s="4">
        <v>20135</v>
      </c>
      <c r="B55" s="4" t="s">
        <v>58</v>
      </c>
      <c r="C55" s="4" t="s">
        <v>68</v>
      </c>
      <c r="D55" s="5">
        <v>41473</v>
      </c>
      <c r="E55" s="4">
        <v>4</v>
      </c>
      <c r="F55" s="1">
        <v>6</v>
      </c>
      <c r="G55" s="8">
        <v>65506</v>
      </c>
      <c r="H55" s="1" t="str">
        <f>VLOOKUP(E55,'נתוני עזר'!$B$4:$C$7,2,FALSE)</f>
        <v>מס"ב</v>
      </c>
      <c r="I55" s="15">
        <f t="shared" si="7"/>
        <v>5895.54</v>
      </c>
      <c r="J55" s="1">
        <f t="shared" si="8"/>
        <v>5895.54</v>
      </c>
      <c r="K55" s="16">
        <f t="shared" si="9"/>
        <v>16558.461111111112</v>
      </c>
      <c r="L55" s="16">
        <f t="shared" si="4"/>
        <v>16558.461111111112</v>
      </c>
      <c r="M55" s="1" t="str">
        <f t="shared" si="10"/>
        <v>מאי</v>
      </c>
      <c r="N55" s="1">
        <f t="shared" si="5"/>
        <v>2013</v>
      </c>
      <c r="O55"/>
      <c r="S55" s="29">
        <v>41275</v>
      </c>
      <c r="T55" s="21">
        <v>14</v>
      </c>
    </row>
    <row r="56" spans="1:20" ht="13.8" x14ac:dyDescent="0.25">
      <c r="A56" s="4">
        <v>20136</v>
      </c>
      <c r="B56" s="4" t="s">
        <v>54</v>
      </c>
      <c r="C56" s="4" t="s">
        <v>79</v>
      </c>
      <c r="D56" s="5">
        <v>42448</v>
      </c>
      <c r="E56" s="4">
        <v>2</v>
      </c>
      <c r="F56" s="1">
        <v>2</v>
      </c>
      <c r="G56" s="8">
        <v>157943</v>
      </c>
      <c r="H56" s="1" t="str">
        <f>VLOOKUP(E56,'נתוני עזר'!$B$4:$C$7,2,FALSE)</f>
        <v>מזומן</v>
      </c>
      <c r="I56" s="15">
        <f t="shared" si="7"/>
        <v>6317.72</v>
      </c>
      <c r="J56" s="1">
        <f t="shared" si="8"/>
        <v>6317.72</v>
      </c>
      <c r="K56" s="16">
        <f t="shared" si="9"/>
        <v>42118.133333333331</v>
      </c>
      <c r="L56" s="16">
        <f t="shared" si="4"/>
        <v>42118.133333333331</v>
      </c>
      <c r="M56" s="1" t="str">
        <f t="shared" si="10"/>
        <v>אפריל</v>
      </c>
      <c r="N56" s="1">
        <f t="shared" si="5"/>
        <v>2016</v>
      </c>
      <c r="O56"/>
      <c r="S56" s="29">
        <v>42005</v>
      </c>
      <c r="T56" s="21">
        <v>11</v>
      </c>
    </row>
    <row r="57" spans="1:20" ht="13.8" x14ac:dyDescent="0.25">
      <c r="A57" s="4">
        <v>20145</v>
      </c>
      <c r="B57" s="4" t="s">
        <v>48</v>
      </c>
      <c r="C57" s="4" t="s">
        <v>69</v>
      </c>
      <c r="D57" s="5">
        <v>39688</v>
      </c>
      <c r="E57" s="4">
        <v>1</v>
      </c>
      <c r="F57" s="1">
        <v>6</v>
      </c>
      <c r="G57" s="8">
        <v>52386</v>
      </c>
      <c r="H57" s="1" t="str">
        <f>VLOOKUP(E57,'נתוני עזר'!$B$4:$C$7,2,FALSE)</f>
        <v>העברה בנקאית</v>
      </c>
      <c r="I57" s="15">
        <f t="shared" si="7"/>
        <v>3667.0200000000004</v>
      </c>
      <c r="J57" s="1">
        <f t="shared" si="8"/>
        <v>3667.0200000000004</v>
      </c>
      <c r="K57" s="16">
        <f t="shared" si="9"/>
        <v>13533.05</v>
      </c>
      <c r="L57" s="16">
        <f t="shared" si="4"/>
        <v>13533.05</v>
      </c>
      <c r="M57" s="1" t="str">
        <f t="shared" si="10"/>
        <v>ינואר</v>
      </c>
      <c r="N57" s="1">
        <f t="shared" si="5"/>
        <v>2008</v>
      </c>
      <c r="O57"/>
      <c r="S57" s="29">
        <v>42736</v>
      </c>
      <c r="T57" s="21">
        <v>8</v>
      </c>
    </row>
    <row r="58" spans="1:20" ht="13.8" x14ac:dyDescent="0.25">
      <c r="A58" s="4">
        <v>20160</v>
      </c>
      <c r="B58" s="4" t="s">
        <v>52</v>
      </c>
      <c r="C58" s="4" t="s">
        <v>75</v>
      </c>
      <c r="D58" s="5">
        <v>39522</v>
      </c>
      <c r="E58" s="4">
        <v>4</v>
      </c>
      <c r="F58" s="1">
        <v>2</v>
      </c>
      <c r="G58" s="8">
        <v>85300</v>
      </c>
      <c r="H58" s="1" t="str">
        <f>VLOOKUP(E58,'נתוני עזר'!$B$4:$C$7,2,FALSE)</f>
        <v>מס"ב</v>
      </c>
      <c r="I58" s="15">
        <f t="shared" si="7"/>
        <v>5971.0000000000009</v>
      </c>
      <c r="J58" s="1">
        <f t="shared" si="8"/>
        <v>5971.0000000000009</v>
      </c>
      <c r="K58" s="16">
        <f t="shared" si="9"/>
        <v>22035.833333333332</v>
      </c>
      <c r="L58" s="16">
        <f t="shared" si="4"/>
        <v>22035.833333333332</v>
      </c>
      <c r="M58" s="1" t="str">
        <f t="shared" si="10"/>
        <v>אפריל</v>
      </c>
      <c r="N58" s="1">
        <f t="shared" si="5"/>
        <v>2008</v>
      </c>
      <c r="O58"/>
      <c r="S58" s="21"/>
      <c r="T58" s="21">
        <v>6</v>
      </c>
    </row>
    <row r="59" spans="1:20" ht="13.8" x14ac:dyDescent="0.25">
      <c r="A59" s="4">
        <v>20137</v>
      </c>
      <c r="B59" s="4" t="s">
        <v>59</v>
      </c>
      <c r="C59" s="4" t="s">
        <v>68</v>
      </c>
      <c r="D59" s="5">
        <v>41243</v>
      </c>
      <c r="E59" s="4">
        <v>4</v>
      </c>
      <c r="F59" s="1">
        <v>1</v>
      </c>
      <c r="G59" s="8">
        <v>157479</v>
      </c>
      <c r="H59" s="1" t="str">
        <f>VLOOKUP(E59,'נתוני עזר'!$B$4:$C$7,2,FALSE)</f>
        <v>מס"ב</v>
      </c>
      <c r="I59" s="15">
        <f t="shared" si="7"/>
        <v>12598.32</v>
      </c>
      <c r="J59" s="1">
        <f t="shared" si="8"/>
        <v>12598.32</v>
      </c>
      <c r="K59" s="16">
        <f t="shared" si="9"/>
        <v>40244.633333333331</v>
      </c>
      <c r="L59" s="16">
        <f t="shared" si="4"/>
        <v>40244.633333333331</v>
      </c>
      <c r="M59" s="1" t="str">
        <f t="shared" si="10"/>
        <v>מרץ</v>
      </c>
      <c r="N59" s="1">
        <f t="shared" si="5"/>
        <v>2012</v>
      </c>
      <c r="O59"/>
    </row>
    <row r="60" spans="1:20" ht="13.8" x14ac:dyDescent="0.25">
      <c r="A60" s="4">
        <v>20116</v>
      </c>
      <c r="B60" s="4" t="s">
        <v>60</v>
      </c>
      <c r="C60" s="4" t="s">
        <v>72</v>
      </c>
      <c r="D60" s="5">
        <v>38973</v>
      </c>
      <c r="E60" s="4">
        <v>1</v>
      </c>
      <c r="F60" s="1">
        <v>4</v>
      </c>
      <c r="G60" s="8">
        <v>180892</v>
      </c>
      <c r="H60" s="1" t="str">
        <f>VLOOKUP(E60,'נתוני עזר'!$B$4:$C$7,2,FALSE)</f>
        <v>העברה בנקאית</v>
      </c>
      <c r="I60" s="15">
        <f t="shared" si="7"/>
        <v>12662.44</v>
      </c>
      <c r="J60" s="1">
        <f t="shared" si="8"/>
        <v>12662.44</v>
      </c>
      <c r="K60" s="16">
        <f t="shared" si="9"/>
        <v>46730.433333333334</v>
      </c>
      <c r="L60" s="16">
        <f t="shared" si="4"/>
        <v>46730.433333333334</v>
      </c>
      <c r="M60" s="1" t="str">
        <f t="shared" si="10"/>
        <v>דצמבר</v>
      </c>
      <c r="N60" s="1">
        <f t="shared" si="5"/>
        <v>2006</v>
      </c>
      <c r="O60"/>
    </row>
    <row r="61" spans="1:20" ht="13.8" x14ac:dyDescent="0.25">
      <c r="A61" s="4">
        <v>20161</v>
      </c>
      <c r="B61" s="4" t="s">
        <v>67</v>
      </c>
      <c r="C61" s="4" t="s">
        <v>73</v>
      </c>
      <c r="D61" s="5">
        <v>39662</v>
      </c>
      <c r="E61" s="4">
        <v>3</v>
      </c>
      <c r="F61" s="1">
        <v>2</v>
      </c>
      <c r="G61" s="8">
        <v>87755</v>
      </c>
      <c r="H61" s="1" t="str">
        <f>VLOOKUP(E61,'נתוני עזר'!$B$4:$C$7,2,FALSE)</f>
        <v>צ'קים</v>
      </c>
      <c r="I61" s="15">
        <f t="shared" si="7"/>
        <v>6142.85</v>
      </c>
      <c r="J61" s="1">
        <f t="shared" si="8"/>
        <v>6142.85</v>
      </c>
      <c r="K61" s="16">
        <f t="shared" si="9"/>
        <v>22670.041666666664</v>
      </c>
      <c r="L61" s="16">
        <f t="shared" si="4"/>
        <v>22670.041666666664</v>
      </c>
      <c r="M61" s="1" t="str">
        <f t="shared" si="10"/>
        <v>ינואר</v>
      </c>
      <c r="N61" s="1">
        <f t="shared" si="5"/>
        <v>2008</v>
      </c>
      <c r="O61"/>
    </row>
    <row r="62" spans="1:20" ht="13.8" x14ac:dyDescent="0.25">
      <c r="A62" s="4">
        <v>20146</v>
      </c>
      <c r="B62" s="4" t="s">
        <v>29</v>
      </c>
      <c r="C62" s="4" t="s">
        <v>71</v>
      </c>
      <c r="D62" s="5">
        <v>39448</v>
      </c>
      <c r="E62" s="4">
        <v>5</v>
      </c>
      <c r="F62" s="1">
        <v>8</v>
      </c>
      <c r="G62" s="8">
        <v>119848</v>
      </c>
      <c r="H62" s="1" t="e">
        <f>VLOOKUP(E62,'נתוני עזר'!$B$4:$C$7,2,FALSE)</f>
        <v>#N/A</v>
      </c>
      <c r="I62" s="15">
        <f t="shared" si="7"/>
        <v>8389.36</v>
      </c>
      <c r="J62" s="1">
        <f t="shared" si="8"/>
        <v>8389.36</v>
      </c>
      <c r="K62" s="16">
        <f t="shared" si="9"/>
        <v>30960.733333333334</v>
      </c>
      <c r="L62" s="16">
        <f t="shared" si="4"/>
        <v>30960.733333333334</v>
      </c>
      <c r="M62" s="1" t="str">
        <f t="shared" si="10"/>
        <v>אוקטובר</v>
      </c>
      <c r="N62" s="1">
        <f t="shared" si="5"/>
        <v>2008</v>
      </c>
      <c r="O62"/>
    </row>
    <row r="63" spans="1:20" ht="13.8" x14ac:dyDescent="0.25">
      <c r="A63" s="4">
        <v>20106</v>
      </c>
      <c r="B63" s="4" t="s">
        <v>0</v>
      </c>
      <c r="C63" s="4" t="s">
        <v>71</v>
      </c>
      <c r="D63" s="5">
        <v>41649</v>
      </c>
      <c r="E63" s="4">
        <v>2</v>
      </c>
      <c r="F63" s="1">
        <v>3</v>
      </c>
      <c r="G63" s="8">
        <v>168416</v>
      </c>
      <c r="H63" s="1" t="str">
        <f>VLOOKUP(E63,'נתוני עזר'!$B$4:$C$7,2,FALSE)</f>
        <v>מזומן</v>
      </c>
      <c r="I63" s="15">
        <f t="shared" si="7"/>
        <v>15157.439999999999</v>
      </c>
      <c r="J63" s="1">
        <f t="shared" si="8"/>
        <v>15157.439999999999</v>
      </c>
      <c r="K63" s="16">
        <f t="shared" si="9"/>
        <v>42571.822222222218</v>
      </c>
      <c r="L63" s="16">
        <f t="shared" si="4"/>
        <v>42571.822222222218</v>
      </c>
      <c r="M63" s="1" t="str">
        <f t="shared" si="10"/>
        <v>יולי</v>
      </c>
      <c r="N63" s="1">
        <f t="shared" si="5"/>
        <v>2014</v>
      </c>
      <c r="O63"/>
    </row>
    <row r="64" spans="1:20" ht="13.8" x14ac:dyDescent="0.25">
      <c r="A64" s="4">
        <v>20162</v>
      </c>
      <c r="B64" s="4" t="s">
        <v>50</v>
      </c>
      <c r="C64" s="4" t="s">
        <v>78</v>
      </c>
      <c r="D64" s="5">
        <v>40285</v>
      </c>
      <c r="E64" s="4">
        <v>1</v>
      </c>
      <c r="F64" s="1">
        <v>5</v>
      </c>
      <c r="G64" s="8">
        <v>179795</v>
      </c>
      <c r="H64" s="1" t="str">
        <f>VLOOKUP(E64,'נתוני עזר'!$B$4:$C$7,2,FALSE)</f>
        <v>העברה בנקאית</v>
      </c>
      <c r="I64" s="15">
        <f t="shared" si="7"/>
        <v>10787.699999999999</v>
      </c>
      <c r="J64" s="1">
        <f t="shared" si="8"/>
        <v>10787.699999999999</v>
      </c>
      <c r="K64" s="16">
        <f t="shared" si="9"/>
        <v>46946.472222222219</v>
      </c>
      <c r="L64" s="16">
        <f t="shared" si="4"/>
        <v>46946.472222222219</v>
      </c>
      <c r="M64" s="1" t="str">
        <f t="shared" si="10"/>
        <v>יולי</v>
      </c>
      <c r="N64" s="1">
        <f t="shared" si="5"/>
        <v>2010</v>
      </c>
      <c r="O64"/>
    </row>
    <row r="65" spans="1:15" ht="13.8" x14ac:dyDescent="0.25">
      <c r="A65" s="4">
        <v>20163</v>
      </c>
      <c r="B65" s="4" t="s">
        <v>49</v>
      </c>
      <c r="C65" s="4" t="s">
        <v>69</v>
      </c>
      <c r="D65" s="5">
        <v>39892</v>
      </c>
      <c r="E65" s="4">
        <v>3</v>
      </c>
      <c r="F65" s="1">
        <v>5</v>
      </c>
      <c r="G65" s="8">
        <v>69566</v>
      </c>
      <c r="H65" s="1" t="str">
        <f>VLOOKUP(E65,'נתוני עזר'!$B$4:$C$7,2,FALSE)</f>
        <v>צ'קים</v>
      </c>
      <c r="I65" s="15">
        <f t="shared" si="7"/>
        <v>4173.96</v>
      </c>
      <c r="J65" s="1">
        <f t="shared" si="8"/>
        <v>4173.96</v>
      </c>
      <c r="K65" s="16">
        <f t="shared" si="9"/>
        <v>18164.455555555556</v>
      </c>
      <c r="L65" s="16">
        <f t="shared" si="4"/>
        <v>18164.455555555556</v>
      </c>
      <c r="M65" s="1" t="str">
        <f t="shared" si="10"/>
        <v>ספטמבר</v>
      </c>
      <c r="N65" s="1">
        <f t="shared" si="5"/>
        <v>2009</v>
      </c>
      <c r="O65"/>
    </row>
    <row r="66" spans="1:15" x14ac:dyDescent="0.25">
      <c r="O66"/>
    </row>
    <row r="67" spans="1:15" x14ac:dyDescent="0.25">
      <c r="D67" s="2"/>
      <c r="O67"/>
    </row>
    <row r="68" spans="1:15" x14ac:dyDescent="0.25">
      <c r="D68" s="2"/>
      <c r="O68"/>
    </row>
    <row r="69" spans="1:15" x14ac:dyDescent="0.25">
      <c r="D69" s="2"/>
      <c r="O69"/>
    </row>
    <row r="70" spans="1:15" x14ac:dyDescent="0.25">
      <c r="O70"/>
    </row>
    <row r="71" spans="1:15" x14ac:dyDescent="0.25">
      <c r="O71"/>
    </row>
    <row r="72" spans="1:15" x14ac:dyDescent="0.25">
      <c r="O72"/>
    </row>
    <row r="73" spans="1:15" x14ac:dyDescent="0.25">
      <c r="O73"/>
    </row>
    <row r="74" spans="1:15" x14ac:dyDescent="0.25">
      <c r="O74"/>
    </row>
    <row r="75" spans="1:15" x14ac:dyDescent="0.25">
      <c r="O75"/>
    </row>
    <row r="76" spans="1:15" x14ac:dyDescent="0.25">
      <c r="O76"/>
    </row>
    <row r="77" spans="1:15" x14ac:dyDescent="0.25">
      <c r="O77"/>
    </row>
    <row r="78" spans="1:15" x14ac:dyDescent="0.25">
      <c r="O78"/>
    </row>
    <row r="79" spans="1:15" x14ac:dyDescent="0.25">
      <c r="O79"/>
    </row>
    <row r="80" spans="1:15" x14ac:dyDescent="0.25">
      <c r="O80"/>
    </row>
    <row r="81" spans="15:15" x14ac:dyDescent="0.25">
      <c r="O81"/>
    </row>
    <row r="82" spans="15:15" x14ac:dyDescent="0.25">
      <c r="O82"/>
    </row>
    <row r="83" spans="15:15" x14ac:dyDescent="0.25">
      <c r="O83"/>
    </row>
    <row r="84" spans="15:15" x14ac:dyDescent="0.25">
      <c r="O84"/>
    </row>
    <row r="85" spans="15:15" x14ac:dyDescent="0.25">
      <c r="O85"/>
    </row>
    <row r="86" spans="15:15" x14ac:dyDescent="0.25">
      <c r="O86"/>
    </row>
    <row r="87" spans="15:15" x14ac:dyDescent="0.25">
      <c r="O87"/>
    </row>
    <row r="88" spans="15:15" x14ac:dyDescent="0.25">
      <c r="O88"/>
    </row>
    <row r="89" spans="15:15" x14ac:dyDescent="0.25">
      <c r="O89"/>
    </row>
    <row r="90" spans="15:15" x14ac:dyDescent="0.25">
      <c r="O90"/>
    </row>
    <row r="91" spans="15:15" x14ac:dyDescent="0.25">
      <c r="O91"/>
    </row>
  </sheetData>
  <sortState xmlns:xlrd2="http://schemas.microsoft.com/office/spreadsheetml/2017/richdata2" ref="A2:G65">
    <sortCondition ref="B5"/>
  </sortState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77538-7D65-6249-A9B3-94E651BB3AAF}">
  <dimension ref="A1:T69"/>
  <sheetViews>
    <sheetView rightToLeft="1" topLeftCell="I20" workbookViewId="0">
      <selection activeCell="P53" sqref="P53"/>
    </sheetView>
  </sheetViews>
  <sheetFormatPr defaultColWidth="8.77734375" defaultRowHeight="13.2" x14ac:dyDescent="0.25"/>
  <cols>
    <col min="1" max="1" width="12" style="1" customWidth="1"/>
    <col min="2" max="2" width="15.44140625" style="1" customWidth="1"/>
    <col min="3" max="3" width="22.77734375" style="1" customWidth="1"/>
    <col min="4" max="4" width="15.33203125" style="1" customWidth="1"/>
    <col min="5" max="5" width="11.6640625" style="1" customWidth="1"/>
    <col min="6" max="6" width="14.77734375" style="1" customWidth="1"/>
    <col min="7" max="7" width="17.109375" style="1" customWidth="1"/>
    <col min="8" max="8" width="21.6640625" style="1" customWidth="1"/>
    <col min="9" max="9" width="30.109375" style="1" customWidth="1"/>
    <col min="10" max="10" width="15.77734375" style="1" customWidth="1"/>
    <col min="11" max="11" width="19.44140625" style="1" customWidth="1"/>
    <col min="12" max="15" width="8.77734375" style="1"/>
    <col min="16" max="16" width="10.44140625" style="1" bestFit="1" customWidth="1"/>
    <col min="17" max="19" width="8.77734375" style="1"/>
    <col min="20" max="20" width="10.44140625" style="1" bestFit="1" customWidth="1"/>
    <col min="21" max="16384" width="8.77734375" style="1"/>
  </cols>
  <sheetData>
    <row r="1" spans="1:16" s="7" customFormat="1" ht="33.75" customHeight="1" x14ac:dyDescent="0.25">
      <c r="A1" s="6" t="s">
        <v>92</v>
      </c>
      <c r="B1" s="6" t="s">
        <v>87</v>
      </c>
      <c r="C1" s="6" t="s">
        <v>86</v>
      </c>
      <c r="D1" s="6" t="s">
        <v>88</v>
      </c>
      <c r="E1" s="6" t="s">
        <v>89</v>
      </c>
      <c r="F1" s="6" t="s">
        <v>90</v>
      </c>
      <c r="G1" s="6" t="s">
        <v>91</v>
      </c>
      <c r="H1" s="6" t="s">
        <v>94</v>
      </c>
      <c r="I1" s="6" t="s">
        <v>95</v>
      </c>
      <c r="J1" s="6" t="s">
        <v>98</v>
      </c>
      <c r="K1" s="6" t="s">
        <v>101</v>
      </c>
    </row>
    <row r="2" spans="1:16" ht="13.8" x14ac:dyDescent="0.25">
      <c r="A2" s="4">
        <v>20103</v>
      </c>
      <c r="B2" s="4" t="s">
        <v>24</v>
      </c>
      <c r="C2" s="4" t="s">
        <v>74</v>
      </c>
      <c r="D2" s="5">
        <v>41907</v>
      </c>
      <c r="E2" s="4">
        <v>2</v>
      </c>
      <c r="F2" s="1">
        <v>8</v>
      </c>
      <c r="G2" s="8">
        <v>58313</v>
      </c>
      <c r="H2" s="1" t="str">
        <f>VLOOKUP(E2,'נתוני עזר'!$B$4:$C$7,2,FALSE)</f>
        <v>מזומן</v>
      </c>
      <c r="I2" s="15">
        <f>G2*IF(YEAR(D2)&lt;=$O$5,$P$14,IF(YEAR(D2)&lt;=$O$6,$P$6,IF(YEAR(D2)&lt;=$O$8,$P$8,IF(YEAR(D2)&lt;=$O$10,$P$10,IF(YEAR(D2)&lt;=$O$12,$P$12,$P$14)))))</f>
        <v>5248.17</v>
      </c>
      <c r="J2" s="1">
        <f t="shared" ref="J2:J33" si="0">G2*VLOOKUP(YEAR(D2),$O$20:$P$26,2,TRUE)</f>
        <v>5248.17</v>
      </c>
      <c r="K2" s="16">
        <f>(G2-J2)/$O$31</f>
        <v>15903.967222341455</v>
      </c>
    </row>
    <row r="3" spans="1:16" ht="13.8" x14ac:dyDescent="0.25">
      <c r="A3" s="4">
        <v>20138</v>
      </c>
      <c r="B3" s="4" t="s">
        <v>14</v>
      </c>
      <c r="C3" s="4" t="s">
        <v>74</v>
      </c>
      <c r="D3" s="5">
        <v>42616</v>
      </c>
      <c r="E3" s="4">
        <v>4</v>
      </c>
      <c r="F3" s="1">
        <v>4</v>
      </c>
      <c r="G3" s="8">
        <v>127284</v>
      </c>
      <c r="H3" s="1" t="str">
        <f>VLOOKUP(E3,'נתוני עזר'!$B$4:$C$7,2,FALSE)</f>
        <v>מס"ב</v>
      </c>
      <c r="I3" s="15">
        <f t="shared" ref="I3:I65" si="1">G3*IF(YEAR(D3)&lt;=$O$5,$P$14,IF(YEAR(D3)&lt;=$O$6,$P$6,IF(YEAR(D3)&lt;=$O$8,$P$8,IF(YEAR(D3)&lt;=$O$10,$P$10,IF(YEAR(D3)&lt;=$O$12,$P$12,$P$14)))))</f>
        <v>5091.3599999999997</v>
      </c>
      <c r="J3" s="1">
        <f t="shared" si="0"/>
        <v>5091.3599999999997</v>
      </c>
      <c r="K3" s="16">
        <f t="shared" ref="K3:K65" si="2">(G3-J3)/$O$31</f>
        <v>36622.142035909084</v>
      </c>
    </row>
    <row r="4" spans="1:16" ht="13.8" x14ac:dyDescent="0.25">
      <c r="A4" s="4">
        <v>20107</v>
      </c>
      <c r="B4" s="4" t="s">
        <v>33</v>
      </c>
      <c r="C4" s="4" t="s">
        <v>75</v>
      </c>
      <c r="D4" s="5">
        <v>42821</v>
      </c>
      <c r="E4" s="4">
        <v>1</v>
      </c>
      <c r="F4" s="1">
        <v>5</v>
      </c>
      <c r="G4" s="8">
        <v>190177</v>
      </c>
      <c r="H4" s="1" t="str">
        <f>VLOOKUP(E4,'נתוני עזר'!$B$4:$C$7,2,FALSE)</f>
        <v>העברה בנקאית</v>
      </c>
      <c r="I4" s="15">
        <f t="shared" si="1"/>
        <v>13312.390000000001</v>
      </c>
      <c r="J4" s="1">
        <f t="shared" si="0"/>
        <v>13312.390000000001</v>
      </c>
      <c r="K4" s="16">
        <f t="shared" si="2"/>
        <v>53007.782371717847</v>
      </c>
      <c r="N4" s="19" t="s">
        <v>104</v>
      </c>
      <c r="O4" s="19" t="s">
        <v>103</v>
      </c>
    </row>
    <row r="5" spans="1:16" ht="13.8" x14ac:dyDescent="0.25">
      <c r="A5" s="4">
        <v>20147</v>
      </c>
      <c r="B5" s="4" t="s">
        <v>34</v>
      </c>
      <c r="C5" s="4" t="s">
        <v>77</v>
      </c>
      <c r="D5" s="5">
        <v>41824</v>
      </c>
      <c r="E5" s="4">
        <v>3</v>
      </c>
      <c r="F5" s="1">
        <v>10</v>
      </c>
      <c r="G5" s="8">
        <v>185512</v>
      </c>
      <c r="H5" s="1" t="str">
        <f>VLOOKUP(E5,'נתוני עזר'!$B$4:$C$7,2,FALSE)</f>
        <v>צ'קים</v>
      </c>
      <c r="I5" s="15">
        <f t="shared" si="1"/>
        <v>16696.079999999998</v>
      </c>
      <c r="J5" s="1">
        <f t="shared" si="0"/>
        <v>16696.079999999998</v>
      </c>
      <c r="K5" s="16">
        <f t="shared" si="2"/>
        <v>50595.52359424156</v>
      </c>
      <c r="O5" s="26">
        <v>2008</v>
      </c>
      <c r="P5" s="17"/>
    </row>
    <row r="6" spans="1:16" ht="13.8" x14ac:dyDescent="0.25">
      <c r="A6" s="4">
        <v>20104</v>
      </c>
      <c r="B6" s="4" t="s">
        <v>3</v>
      </c>
      <c r="C6" s="4" t="s">
        <v>80</v>
      </c>
      <c r="D6" s="5">
        <v>40307</v>
      </c>
      <c r="E6" s="4">
        <v>2</v>
      </c>
      <c r="F6" s="1">
        <v>8</v>
      </c>
      <c r="G6" s="8">
        <v>135549</v>
      </c>
      <c r="H6" s="1" t="str">
        <f>VLOOKUP(E6,'נתוני עזר'!$B$4:$C$7,2,FALSE)</f>
        <v>מזומן</v>
      </c>
      <c r="I6" s="15">
        <f t="shared" si="1"/>
        <v>8132.94</v>
      </c>
      <c r="J6" s="1">
        <f t="shared" si="0"/>
        <v>8132.94</v>
      </c>
      <c r="K6" s="16">
        <f t="shared" si="2"/>
        <v>38187.644091951151</v>
      </c>
      <c r="O6" s="17">
        <v>2010</v>
      </c>
      <c r="P6" s="24">
        <v>0.06</v>
      </c>
    </row>
    <row r="7" spans="1:16" ht="13.8" x14ac:dyDescent="0.25">
      <c r="A7" s="4">
        <v>20117</v>
      </c>
      <c r="B7" s="4" t="s">
        <v>9</v>
      </c>
      <c r="C7" s="4" t="s">
        <v>75</v>
      </c>
      <c r="D7" s="5">
        <v>40985</v>
      </c>
      <c r="E7" s="4">
        <v>1</v>
      </c>
      <c r="F7" s="1">
        <v>7</v>
      </c>
      <c r="G7" s="8">
        <v>199206</v>
      </c>
      <c r="H7" s="1" t="str">
        <f>VLOOKUP(E7,'נתוני עזר'!$B$4:$C$7,2,FALSE)</f>
        <v>העברה בנקאית</v>
      </c>
      <c r="I7" s="15">
        <f t="shared" si="1"/>
        <v>15936.48</v>
      </c>
      <c r="J7" s="1">
        <f t="shared" si="0"/>
        <v>15936.48</v>
      </c>
      <c r="K7" s="16">
        <f t="shared" si="2"/>
        <v>54927.386725525204</v>
      </c>
      <c r="O7" s="17"/>
      <c r="P7" s="17"/>
    </row>
    <row r="8" spans="1:16" ht="13.8" x14ac:dyDescent="0.25">
      <c r="A8" s="4">
        <v>20130</v>
      </c>
      <c r="B8" s="4" t="s">
        <v>65</v>
      </c>
      <c r="C8" s="4" t="s">
        <v>69</v>
      </c>
      <c r="D8" s="5">
        <v>38916</v>
      </c>
      <c r="E8" s="4">
        <v>5</v>
      </c>
      <c r="F8" s="1">
        <v>5</v>
      </c>
      <c r="G8" s="8">
        <v>174087</v>
      </c>
      <c r="H8" s="1" t="e">
        <f>VLOOKUP(E8,'נתוני עזר'!$B$4:$C$7,2,FALSE)</f>
        <v>#N/A</v>
      </c>
      <c r="I8" s="15">
        <f t="shared" si="1"/>
        <v>12186.090000000002</v>
      </c>
      <c r="J8" s="1">
        <f t="shared" si="0"/>
        <v>12186.090000000002</v>
      </c>
      <c r="K8" s="16">
        <f t="shared" si="2"/>
        <v>48523.038063200314</v>
      </c>
      <c r="O8" s="17">
        <v>2012</v>
      </c>
      <c r="P8" s="24">
        <v>0.08</v>
      </c>
    </row>
    <row r="9" spans="1:16" ht="13.8" x14ac:dyDescent="0.25">
      <c r="A9" s="4">
        <v>20148</v>
      </c>
      <c r="B9" s="4" t="s">
        <v>2</v>
      </c>
      <c r="C9" s="4" t="s">
        <v>76</v>
      </c>
      <c r="D9" s="5">
        <v>42753</v>
      </c>
      <c r="E9" s="4">
        <v>3</v>
      </c>
      <c r="F9" s="1">
        <v>7</v>
      </c>
      <c r="G9" s="8">
        <v>133032</v>
      </c>
      <c r="H9" s="1" t="str">
        <f>VLOOKUP(E9,'נתוני עזר'!$B$4:$C$7,2,FALSE)</f>
        <v>צ'קים</v>
      </c>
      <c r="I9" s="15">
        <f t="shared" si="1"/>
        <v>9312.2400000000016</v>
      </c>
      <c r="J9" s="1">
        <f t="shared" si="0"/>
        <v>9312.2400000000016</v>
      </c>
      <c r="K9" s="16">
        <f t="shared" si="2"/>
        <v>37079.832495382558</v>
      </c>
      <c r="O9" s="17"/>
      <c r="P9" s="17"/>
    </row>
    <row r="10" spans="1:16" ht="13.8" x14ac:dyDescent="0.25">
      <c r="A10" s="4">
        <v>20119</v>
      </c>
      <c r="B10" s="4" t="s">
        <v>11</v>
      </c>
      <c r="C10" s="4" t="s">
        <v>73</v>
      </c>
      <c r="D10" s="5">
        <v>39352</v>
      </c>
      <c r="E10" s="4">
        <v>4</v>
      </c>
      <c r="F10" s="1">
        <v>4</v>
      </c>
      <c r="G10" s="8">
        <v>138877</v>
      </c>
      <c r="H10" s="1" t="str">
        <f>VLOOKUP(E10,'נתוני עזר'!$B$4:$C$7,2,FALSE)</f>
        <v>מס"ב</v>
      </c>
      <c r="I10" s="15">
        <f t="shared" si="1"/>
        <v>9721.3900000000012</v>
      </c>
      <c r="J10" s="1">
        <f t="shared" si="0"/>
        <v>9721.3900000000012</v>
      </c>
      <c r="K10" s="16">
        <f t="shared" si="2"/>
        <v>38709.001574517744</v>
      </c>
      <c r="O10" s="17">
        <v>2014</v>
      </c>
      <c r="P10" s="24">
        <v>0.09</v>
      </c>
    </row>
    <row r="11" spans="1:16" ht="13.8" x14ac:dyDescent="0.25">
      <c r="A11" s="4">
        <v>20153</v>
      </c>
      <c r="B11" s="4" t="s">
        <v>7</v>
      </c>
      <c r="C11" s="4" t="s">
        <v>74</v>
      </c>
      <c r="D11" s="5">
        <v>39411</v>
      </c>
      <c r="E11" s="4">
        <v>2</v>
      </c>
      <c r="F11" s="1">
        <v>1</v>
      </c>
      <c r="G11" s="8">
        <v>178982</v>
      </c>
      <c r="H11" s="1" t="str">
        <f>VLOOKUP(E11,'נתוני עזר'!$B$4:$C$7,2,FALSE)</f>
        <v>מזומן</v>
      </c>
      <c r="I11" s="15">
        <f t="shared" si="1"/>
        <v>12528.740000000002</v>
      </c>
      <c r="J11" s="1">
        <f t="shared" si="0"/>
        <v>12528.740000000002</v>
      </c>
      <c r="K11" s="16">
        <f t="shared" si="2"/>
        <v>49887.414905350306</v>
      </c>
      <c r="O11" s="17"/>
      <c r="P11" s="17"/>
    </row>
    <row r="12" spans="1:16" ht="13.8" x14ac:dyDescent="0.25">
      <c r="A12" s="4">
        <v>20139</v>
      </c>
      <c r="B12" s="4" t="s">
        <v>5</v>
      </c>
      <c r="C12" s="4" t="s">
        <v>70</v>
      </c>
      <c r="D12" s="5">
        <v>40146</v>
      </c>
      <c r="E12" s="4">
        <v>2</v>
      </c>
      <c r="F12" s="1">
        <v>2</v>
      </c>
      <c r="G12" s="8">
        <v>102615</v>
      </c>
      <c r="H12" s="1" t="str">
        <f>VLOOKUP(E12,'נתוני עזר'!$B$4:$C$7,2,FALSE)</f>
        <v>מזומן</v>
      </c>
      <c r="I12" s="15">
        <f t="shared" si="1"/>
        <v>6156.9</v>
      </c>
      <c r="J12" s="1">
        <f t="shared" si="0"/>
        <v>6156.9</v>
      </c>
      <c r="K12" s="16">
        <f t="shared" si="2"/>
        <v>28909.288143000445</v>
      </c>
      <c r="O12" s="17">
        <v>2016</v>
      </c>
      <c r="P12" s="24">
        <v>0.04</v>
      </c>
    </row>
    <row r="13" spans="1:16" ht="13.8" x14ac:dyDescent="0.25">
      <c r="A13" s="4">
        <v>20131</v>
      </c>
      <c r="B13" s="4" t="s">
        <v>31</v>
      </c>
      <c r="C13" s="4" t="s">
        <v>75</v>
      </c>
      <c r="D13" s="5">
        <v>39878</v>
      </c>
      <c r="E13" s="4">
        <v>2</v>
      </c>
      <c r="F13" s="1">
        <v>3</v>
      </c>
      <c r="G13" s="8">
        <v>58896</v>
      </c>
      <c r="H13" s="1" t="str">
        <f>VLOOKUP(E13,'נתוני עזר'!$B$4:$C$7,2,FALSE)</f>
        <v>מזומן</v>
      </c>
      <c r="I13" s="15">
        <f t="shared" si="1"/>
        <v>3533.7599999999998</v>
      </c>
      <c r="J13" s="1">
        <f t="shared" si="0"/>
        <v>3533.7599999999998</v>
      </c>
      <c r="K13" s="16">
        <f t="shared" si="2"/>
        <v>16592.519948059777</v>
      </c>
      <c r="O13" s="17"/>
      <c r="P13" s="17"/>
    </row>
    <row r="14" spans="1:16" ht="13.8" x14ac:dyDescent="0.25">
      <c r="A14" s="4">
        <v>20100</v>
      </c>
      <c r="B14" s="4" t="s">
        <v>12</v>
      </c>
      <c r="C14" s="4" t="s">
        <v>68</v>
      </c>
      <c r="D14" s="5">
        <v>40943</v>
      </c>
      <c r="E14" s="4">
        <v>4</v>
      </c>
      <c r="F14" s="1">
        <v>8</v>
      </c>
      <c r="G14" s="8">
        <v>115845</v>
      </c>
      <c r="H14" s="1" t="str">
        <f>VLOOKUP(E14,'נתוני עזר'!$B$4:$C$7,2,FALSE)</f>
        <v>מס"ב</v>
      </c>
      <c r="I14" s="15">
        <f t="shared" si="1"/>
        <v>9267.6</v>
      </c>
      <c r="J14" s="1">
        <f t="shared" si="0"/>
        <v>9267.6</v>
      </c>
      <c r="K14" s="16">
        <f t="shared" si="2"/>
        <v>31942.125815580188</v>
      </c>
      <c r="O14" s="17">
        <v>2018</v>
      </c>
      <c r="P14" s="24">
        <v>7.0000000000000007E-2</v>
      </c>
    </row>
    <row r="15" spans="1:16" ht="13.8" x14ac:dyDescent="0.25">
      <c r="A15" s="4">
        <v>20101</v>
      </c>
      <c r="B15" s="4" t="s">
        <v>21</v>
      </c>
      <c r="C15" s="4" t="s">
        <v>71</v>
      </c>
      <c r="D15" s="5">
        <v>42109</v>
      </c>
      <c r="E15" s="4">
        <v>1</v>
      </c>
      <c r="F15" s="1">
        <v>3</v>
      </c>
      <c r="G15" s="8">
        <v>92458</v>
      </c>
      <c r="H15" s="1" t="str">
        <f>VLOOKUP(E15,'נתוני עזר'!$B$4:$C$7,2,FALSE)</f>
        <v>העברה בנקאית</v>
      </c>
      <c r="I15" s="15">
        <f t="shared" si="1"/>
        <v>3698.32</v>
      </c>
      <c r="J15" s="1">
        <f t="shared" si="0"/>
        <v>3698.32</v>
      </c>
      <c r="K15" s="16">
        <f t="shared" si="2"/>
        <v>26602.008173502418</v>
      </c>
      <c r="O15" s="17"/>
      <c r="P15" s="17"/>
    </row>
    <row r="16" spans="1:16" ht="13.8" x14ac:dyDescent="0.25">
      <c r="A16" s="4">
        <v>20102</v>
      </c>
      <c r="B16" s="4" t="s">
        <v>13</v>
      </c>
      <c r="C16" s="4" t="s">
        <v>75</v>
      </c>
      <c r="D16" s="5">
        <v>40302</v>
      </c>
      <c r="E16" s="4">
        <v>4</v>
      </c>
      <c r="F16" s="1">
        <v>1</v>
      </c>
      <c r="G16" s="8">
        <v>143215</v>
      </c>
      <c r="H16" s="1" t="str">
        <f>VLOOKUP(E16,'נתוני עזר'!$B$4:$C$7,2,FALSE)</f>
        <v>מס"ב</v>
      </c>
      <c r="I16" s="15">
        <f t="shared" si="1"/>
        <v>8592.9</v>
      </c>
      <c r="J16" s="1">
        <f t="shared" si="0"/>
        <v>8592.9</v>
      </c>
      <c r="K16" s="16">
        <f t="shared" si="2"/>
        <v>40347.353714367382</v>
      </c>
      <c r="O16" s="17"/>
      <c r="P16" s="17"/>
    </row>
    <row r="17" spans="1:16" ht="13.8" x14ac:dyDescent="0.25">
      <c r="A17" s="4">
        <v>20126</v>
      </c>
      <c r="B17" s="4" t="s">
        <v>1</v>
      </c>
      <c r="C17" s="4" t="s">
        <v>76</v>
      </c>
      <c r="D17" s="5">
        <v>41212</v>
      </c>
      <c r="E17" s="4">
        <v>4</v>
      </c>
      <c r="F17" s="1">
        <v>4</v>
      </c>
      <c r="G17" s="8">
        <v>78785</v>
      </c>
      <c r="H17" s="1" t="str">
        <f>VLOOKUP(E17,'נתוני עזר'!$B$4:$C$7,2,FALSE)</f>
        <v>מס"ב</v>
      </c>
      <c r="I17" s="15">
        <f t="shared" si="1"/>
        <v>6302.8</v>
      </c>
      <c r="J17" s="1">
        <f t="shared" si="0"/>
        <v>6302.8</v>
      </c>
      <c r="K17" s="16">
        <f t="shared" si="2"/>
        <v>21723.513163110063</v>
      </c>
      <c r="O17" s="17"/>
      <c r="P17" s="17"/>
    </row>
    <row r="18" spans="1:16" ht="13.8" x14ac:dyDescent="0.25">
      <c r="A18" s="4">
        <v>20154</v>
      </c>
      <c r="B18" s="4" t="s">
        <v>18</v>
      </c>
      <c r="C18" s="4" t="s">
        <v>73</v>
      </c>
      <c r="D18" s="5">
        <v>41053</v>
      </c>
      <c r="E18" s="4">
        <v>3</v>
      </c>
      <c r="F18" s="1">
        <v>2</v>
      </c>
      <c r="G18" s="8">
        <v>134373</v>
      </c>
      <c r="H18" s="1" t="str">
        <f>VLOOKUP(E18,'נתוני עזר'!$B$4:$C$7,2,FALSE)</f>
        <v>צ'קים</v>
      </c>
      <c r="I18" s="15">
        <f t="shared" si="1"/>
        <v>10749.84</v>
      </c>
      <c r="J18" s="1">
        <f t="shared" si="0"/>
        <v>10749.84</v>
      </c>
      <c r="K18" s="16">
        <f t="shared" si="2"/>
        <v>37050.880678639194</v>
      </c>
      <c r="O18" s="17"/>
      <c r="P18" s="17"/>
    </row>
    <row r="19" spans="1:16" ht="13.8" x14ac:dyDescent="0.25">
      <c r="A19" s="4">
        <v>20128</v>
      </c>
      <c r="B19" s="4" t="s">
        <v>28</v>
      </c>
      <c r="C19" s="4" t="s">
        <v>68</v>
      </c>
      <c r="D19" s="5">
        <v>42769</v>
      </c>
      <c r="E19" s="4">
        <v>3</v>
      </c>
      <c r="F19" s="1">
        <v>5</v>
      </c>
      <c r="G19" s="8">
        <v>126383</v>
      </c>
      <c r="H19" s="1" t="str">
        <f>VLOOKUP(E19,'נתוני עזר'!$B$4:$C$7,2,FALSE)</f>
        <v>צ'קים</v>
      </c>
      <c r="I19" s="15">
        <f t="shared" si="1"/>
        <v>8846.8100000000013</v>
      </c>
      <c r="J19" s="1">
        <f t="shared" si="0"/>
        <v>8846.8100000000013</v>
      </c>
      <c r="K19" s="16">
        <f t="shared" si="2"/>
        <v>35226.565565156765</v>
      </c>
      <c r="O19" s="17" t="s">
        <v>96</v>
      </c>
      <c r="P19" s="17" t="s">
        <v>97</v>
      </c>
    </row>
    <row r="20" spans="1:16" ht="13.8" x14ac:dyDescent="0.25">
      <c r="A20" s="4">
        <v>20120</v>
      </c>
      <c r="B20" s="4" t="s">
        <v>20</v>
      </c>
      <c r="C20" s="4" t="s">
        <v>68</v>
      </c>
      <c r="D20" s="5">
        <v>41949</v>
      </c>
      <c r="E20" s="4">
        <v>2</v>
      </c>
      <c r="F20" s="1">
        <v>5</v>
      </c>
      <c r="G20" s="8">
        <v>89915</v>
      </c>
      <c r="H20" s="1" t="str">
        <f>VLOOKUP(E20,'נתוני עזר'!$B$4:$C$7,2,FALSE)</f>
        <v>מזומן</v>
      </c>
      <c r="I20" s="15">
        <f t="shared" si="1"/>
        <v>8092.3499999999995</v>
      </c>
      <c r="J20" s="1">
        <f t="shared" si="0"/>
        <v>8092.3499999999995</v>
      </c>
      <c r="K20" s="16">
        <f t="shared" si="2"/>
        <v>24522.923066843272</v>
      </c>
      <c r="O20" s="17">
        <v>0</v>
      </c>
      <c r="P20" s="25">
        <v>7.0000000000000007E-2</v>
      </c>
    </row>
    <row r="21" spans="1:16" ht="13.8" x14ac:dyDescent="0.25">
      <c r="A21" s="4">
        <v>20149</v>
      </c>
      <c r="B21" s="4" t="s">
        <v>23</v>
      </c>
      <c r="C21" s="4" t="s">
        <v>77</v>
      </c>
      <c r="D21" s="5">
        <v>40200</v>
      </c>
      <c r="E21" s="4">
        <v>4</v>
      </c>
      <c r="F21" s="1">
        <v>3</v>
      </c>
      <c r="G21" s="8">
        <v>55426</v>
      </c>
      <c r="H21" s="1" t="str">
        <f>VLOOKUP(E21,'נתוני עזר'!$B$4:$C$7,2,FALSE)</f>
        <v>מס"ב</v>
      </c>
      <c r="I21" s="15">
        <f t="shared" si="1"/>
        <v>3325.56</v>
      </c>
      <c r="J21" s="1">
        <f t="shared" si="0"/>
        <v>3325.56</v>
      </c>
      <c r="K21" s="16">
        <f t="shared" si="2"/>
        <v>15614.931585186792</v>
      </c>
      <c r="O21" s="17">
        <v>2009</v>
      </c>
      <c r="P21" s="25">
        <v>0.06</v>
      </c>
    </row>
    <row r="22" spans="1:16" ht="13.8" x14ac:dyDescent="0.25">
      <c r="A22" s="4">
        <v>20112</v>
      </c>
      <c r="B22" s="4" t="s">
        <v>30</v>
      </c>
      <c r="C22" s="4" t="s">
        <v>72</v>
      </c>
      <c r="D22" s="5">
        <v>39997</v>
      </c>
      <c r="E22" s="4">
        <v>1</v>
      </c>
      <c r="F22" s="1">
        <v>10</v>
      </c>
      <c r="G22" s="8">
        <v>146318</v>
      </c>
      <c r="H22" s="1" t="str">
        <f>VLOOKUP(E22,'נתוני עזר'!$B$4:$C$7,2,FALSE)</f>
        <v>העברה בנקאית</v>
      </c>
      <c r="I22" s="15">
        <f t="shared" si="1"/>
        <v>8779.08</v>
      </c>
      <c r="J22" s="1">
        <f t="shared" si="0"/>
        <v>8779.08</v>
      </c>
      <c r="K22" s="16">
        <f t="shared" si="2"/>
        <v>41221.548725893284</v>
      </c>
      <c r="O22" s="17">
        <v>2011</v>
      </c>
      <c r="P22" s="25">
        <v>0.08</v>
      </c>
    </row>
    <row r="23" spans="1:16" ht="13.8" x14ac:dyDescent="0.25">
      <c r="A23" s="4">
        <v>20113</v>
      </c>
      <c r="B23" s="4" t="s">
        <v>25</v>
      </c>
      <c r="C23" s="4" t="s">
        <v>73</v>
      </c>
      <c r="D23" s="5">
        <v>40360</v>
      </c>
      <c r="E23" s="4">
        <v>4</v>
      </c>
      <c r="F23" s="1">
        <v>5</v>
      </c>
      <c r="G23" s="8">
        <v>89582</v>
      </c>
      <c r="H23" s="1" t="str">
        <f>VLOOKUP(E23,'נתוני עזר'!$B$4:$C$7,2,FALSE)</f>
        <v>מס"ב</v>
      </c>
      <c r="I23" s="15">
        <f t="shared" si="1"/>
        <v>5374.92</v>
      </c>
      <c r="J23" s="1">
        <f t="shared" si="0"/>
        <v>5374.92</v>
      </c>
      <c r="K23" s="16">
        <f t="shared" si="2"/>
        <v>25237.556404290463</v>
      </c>
      <c r="O23" s="17">
        <v>2013</v>
      </c>
      <c r="P23" s="25">
        <v>0.09</v>
      </c>
    </row>
    <row r="24" spans="1:16" ht="13.8" x14ac:dyDescent="0.25">
      <c r="A24" s="4">
        <v>20140</v>
      </c>
      <c r="B24" s="4" t="s">
        <v>16</v>
      </c>
      <c r="C24" s="4" t="s">
        <v>71</v>
      </c>
      <c r="D24" s="5">
        <v>41293</v>
      </c>
      <c r="E24" s="4">
        <v>4</v>
      </c>
      <c r="F24" s="1">
        <v>6</v>
      </c>
      <c r="G24" s="8">
        <v>76295</v>
      </c>
      <c r="H24" s="1" t="str">
        <f>VLOOKUP(E24,'נתוני עזר'!$B$4:$C$7,2,FALSE)</f>
        <v>מס"ב</v>
      </c>
      <c r="I24" s="15">
        <f t="shared" si="1"/>
        <v>6866.55</v>
      </c>
      <c r="J24" s="1">
        <f t="shared" si="0"/>
        <v>6866.55</v>
      </c>
      <c r="K24" s="16">
        <f t="shared" si="2"/>
        <v>20808.279101204556</v>
      </c>
      <c r="O24" s="17">
        <v>2015</v>
      </c>
      <c r="P24" s="25">
        <v>0.04</v>
      </c>
    </row>
    <row r="25" spans="1:16" ht="13.8" x14ac:dyDescent="0.25">
      <c r="A25" s="4">
        <v>20121</v>
      </c>
      <c r="B25" s="4" t="s">
        <v>6</v>
      </c>
      <c r="C25" s="4" t="s">
        <v>70</v>
      </c>
      <c r="D25" s="5">
        <v>39248</v>
      </c>
      <c r="E25" s="4">
        <v>1</v>
      </c>
      <c r="F25" s="1">
        <v>10</v>
      </c>
      <c r="G25" s="8">
        <v>71037</v>
      </c>
      <c r="H25" s="1" t="str">
        <f>VLOOKUP(E25,'נתוני עזר'!$B$4:$C$7,2,FALSE)</f>
        <v>העברה בנקאית</v>
      </c>
      <c r="I25" s="15">
        <f t="shared" si="1"/>
        <v>4972.59</v>
      </c>
      <c r="J25" s="1">
        <f t="shared" si="0"/>
        <v>4972.59</v>
      </c>
      <c r="K25" s="16">
        <f t="shared" si="2"/>
        <v>19800.048567070262</v>
      </c>
      <c r="O25" s="17">
        <v>2017</v>
      </c>
      <c r="P25" s="25">
        <v>7.0000000000000007E-2</v>
      </c>
    </row>
    <row r="26" spans="1:16" ht="13.8" x14ac:dyDescent="0.25">
      <c r="A26" s="4">
        <v>20155</v>
      </c>
      <c r="B26" s="4" t="s">
        <v>10</v>
      </c>
      <c r="C26" s="4" t="s">
        <v>76</v>
      </c>
      <c r="D26" s="5">
        <v>41402</v>
      </c>
      <c r="E26" s="4">
        <v>4</v>
      </c>
      <c r="F26" s="1">
        <v>2</v>
      </c>
      <c r="G26" s="8">
        <v>100268</v>
      </c>
      <c r="H26" s="1" t="str">
        <f>VLOOKUP(E26,'נתוני עזר'!$B$4:$C$7,2,FALSE)</f>
        <v>מס"ב</v>
      </c>
      <c r="I26" s="15">
        <f t="shared" si="1"/>
        <v>9024.119999999999</v>
      </c>
      <c r="J26" s="1">
        <f t="shared" si="0"/>
        <v>9024.119999999999</v>
      </c>
      <c r="K26" s="16">
        <f t="shared" si="2"/>
        <v>27346.543402838699</v>
      </c>
      <c r="O26" s="17">
        <v>2019</v>
      </c>
      <c r="P26" s="25"/>
    </row>
    <row r="27" spans="1:16" ht="13.8" x14ac:dyDescent="0.25">
      <c r="A27" s="4">
        <v>20141</v>
      </c>
      <c r="B27" s="4" t="s">
        <v>27</v>
      </c>
      <c r="C27" s="4" t="s">
        <v>76</v>
      </c>
      <c r="D27" s="5">
        <v>42837</v>
      </c>
      <c r="E27" s="4">
        <v>3</v>
      </c>
      <c r="F27" s="1">
        <v>8</v>
      </c>
      <c r="G27" s="8">
        <v>174120</v>
      </c>
      <c r="H27" s="1" t="str">
        <f>VLOOKUP(E27,'נתוני עזר'!$B$4:$C$7,2,FALSE)</f>
        <v>צ'קים</v>
      </c>
      <c r="I27" s="15">
        <f t="shared" si="1"/>
        <v>12188.400000000001</v>
      </c>
      <c r="J27" s="1">
        <f t="shared" si="0"/>
        <v>12188.400000000001</v>
      </c>
      <c r="K27" s="16">
        <f t="shared" si="2"/>
        <v>48532.236109327168</v>
      </c>
    </row>
    <row r="28" spans="1:16" ht="13.8" x14ac:dyDescent="0.25">
      <c r="A28" s="4">
        <v>20124</v>
      </c>
      <c r="B28" s="4" t="s">
        <v>26</v>
      </c>
      <c r="C28" s="4" t="s">
        <v>74</v>
      </c>
      <c r="D28" s="5">
        <v>39693</v>
      </c>
      <c r="E28" s="4">
        <v>2</v>
      </c>
      <c r="F28" s="1">
        <v>9</v>
      </c>
      <c r="G28" s="8">
        <v>151094</v>
      </c>
      <c r="H28" s="1" t="str">
        <f>VLOOKUP(E28,'נתוני עזר'!$B$4:$C$7,2,FALSE)</f>
        <v>מזומן</v>
      </c>
      <c r="I28" s="15">
        <f t="shared" si="1"/>
        <v>10576.580000000002</v>
      </c>
      <c r="J28" s="1">
        <f t="shared" si="0"/>
        <v>10576.580000000002</v>
      </c>
      <c r="K28" s="16">
        <f t="shared" si="2"/>
        <v>42114.229742147247</v>
      </c>
    </row>
    <row r="29" spans="1:16" ht="13.8" x14ac:dyDescent="0.25">
      <c r="A29" s="4">
        <v>20105</v>
      </c>
      <c r="B29" s="4" t="s">
        <v>66</v>
      </c>
      <c r="C29" s="4" t="s">
        <v>79</v>
      </c>
      <c r="D29" s="5">
        <v>42145</v>
      </c>
      <c r="E29" s="4">
        <v>3</v>
      </c>
      <c r="F29" s="1">
        <v>9</v>
      </c>
      <c r="G29" s="8">
        <v>80471</v>
      </c>
      <c r="H29" s="1" t="str">
        <f>VLOOKUP(E29,'נתוני עזר'!$B$4:$C$7,2,FALSE)</f>
        <v>צ'קים</v>
      </c>
      <c r="I29" s="15">
        <f t="shared" si="1"/>
        <v>3218.84</v>
      </c>
      <c r="J29" s="1">
        <f t="shared" si="0"/>
        <v>3218.84</v>
      </c>
      <c r="K29" s="16">
        <f t="shared" si="2"/>
        <v>23153.109517077086</v>
      </c>
      <c r="N29" s="19" t="s">
        <v>105</v>
      </c>
      <c r="O29" s="19" t="s">
        <v>106</v>
      </c>
    </row>
    <row r="30" spans="1:16" ht="13.8" x14ac:dyDescent="0.25">
      <c r="A30" s="4">
        <v>20142</v>
      </c>
      <c r="B30" s="4" t="s">
        <v>45</v>
      </c>
      <c r="C30" s="4" t="s">
        <v>78</v>
      </c>
      <c r="D30" s="5">
        <v>41870</v>
      </c>
      <c r="E30" s="4">
        <v>5</v>
      </c>
      <c r="F30" s="1">
        <v>10</v>
      </c>
      <c r="G30" s="8">
        <v>192182</v>
      </c>
      <c r="H30" s="1" t="e">
        <f>VLOOKUP(E30,'נתוני עזר'!$B$4:$C$7,2,FALSE)</f>
        <v>#N/A</v>
      </c>
      <c r="I30" s="15">
        <f t="shared" si="1"/>
        <v>17296.38</v>
      </c>
      <c r="J30" s="1">
        <f t="shared" si="0"/>
        <v>17296.38</v>
      </c>
      <c r="K30" s="16">
        <f t="shared" si="2"/>
        <v>52414.662746283422</v>
      </c>
      <c r="O30" s="1" t="s">
        <v>99</v>
      </c>
    </row>
    <row r="31" spans="1:16" ht="13.8" x14ac:dyDescent="0.25">
      <c r="A31" s="4">
        <v>20115</v>
      </c>
      <c r="B31" s="4" t="s">
        <v>8</v>
      </c>
      <c r="C31" s="4" t="s">
        <v>68</v>
      </c>
      <c r="D31" s="5">
        <v>41844</v>
      </c>
      <c r="E31" s="4">
        <v>1</v>
      </c>
      <c r="F31" s="1">
        <v>2</v>
      </c>
      <c r="G31" s="8">
        <v>163171</v>
      </c>
      <c r="H31" s="1" t="str">
        <f>VLOOKUP(E31,'נתוני עזר'!$B$4:$C$7,2,FALSE)</f>
        <v>העברה בנקאית</v>
      </c>
      <c r="I31" s="15">
        <f t="shared" si="1"/>
        <v>14685.39</v>
      </c>
      <c r="J31" s="1">
        <f t="shared" si="0"/>
        <v>14685.39</v>
      </c>
      <c r="K31" s="16">
        <f t="shared" si="2"/>
        <v>44502.36200567073</v>
      </c>
      <c r="O31" s="1">
        <v>3.3365781794026832</v>
      </c>
    </row>
    <row r="32" spans="1:16" ht="13.8" x14ac:dyDescent="0.25">
      <c r="A32" s="4">
        <v>20108</v>
      </c>
      <c r="B32" s="4" t="s">
        <v>15</v>
      </c>
      <c r="C32" s="4" t="s">
        <v>77</v>
      </c>
      <c r="D32" s="5">
        <v>41274</v>
      </c>
      <c r="E32" s="4">
        <v>4</v>
      </c>
      <c r="F32" s="1">
        <v>3</v>
      </c>
      <c r="G32" s="8">
        <v>135523</v>
      </c>
      <c r="H32" s="1" t="str">
        <f>VLOOKUP(E32,'נתוני עזר'!$B$4:$C$7,2,FALSE)</f>
        <v>מס"ב</v>
      </c>
      <c r="I32" s="15">
        <f t="shared" si="1"/>
        <v>10841.84</v>
      </c>
      <c r="J32" s="1">
        <f t="shared" si="0"/>
        <v>10841.84</v>
      </c>
      <c r="K32" s="16">
        <f t="shared" si="2"/>
        <v>37367.972004876123</v>
      </c>
    </row>
    <row r="33" spans="1:20" ht="13.8" x14ac:dyDescent="0.25">
      <c r="A33" s="4">
        <v>20109</v>
      </c>
      <c r="B33" s="4" t="s">
        <v>4</v>
      </c>
      <c r="C33" s="4" t="s">
        <v>78</v>
      </c>
      <c r="D33" s="5">
        <v>43053</v>
      </c>
      <c r="E33" s="4">
        <v>5</v>
      </c>
      <c r="F33" s="1">
        <v>3</v>
      </c>
      <c r="G33" s="8">
        <v>151959</v>
      </c>
      <c r="H33" s="1" t="e">
        <f>VLOOKUP(E33,'נתוני עזר'!$B$4:$C$7,2,FALSE)</f>
        <v>#N/A</v>
      </c>
      <c r="I33" s="15">
        <f t="shared" si="1"/>
        <v>10637.130000000001</v>
      </c>
      <c r="J33" s="1">
        <f t="shared" si="0"/>
        <v>10637.130000000001</v>
      </c>
      <c r="K33" s="16">
        <f t="shared" si="2"/>
        <v>42355.330042139023</v>
      </c>
    </row>
    <row r="34" spans="1:20" ht="13.8" x14ac:dyDescent="0.25">
      <c r="A34" s="4">
        <v>20110</v>
      </c>
      <c r="B34" s="4" t="s">
        <v>17</v>
      </c>
      <c r="C34" s="4" t="s">
        <v>69</v>
      </c>
      <c r="D34" s="5">
        <v>39899</v>
      </c>
      <c r="E34" s="4">
        <v>4</v>
      </c>
      <c r="F34" s="1">
        <v>3</v>
      </c>
      <c r="G34" s="8">
        <v>198056</v>
      </c>
      <c r="H34" s="1" t="str">
        <f>VLOOKUP(E34,'נתוני עזר'!$B$4:$C$7,2,FALSE)</f>
        <v>מס"ב</v>
      </c>
      <c r="I34" s="15">
        <f t="shared" si="1"/>
        <v>11883.359999999999</v>
      </c>
      <c r="J34" s="1">
        <f t="shared" ref="J34:J65" si="3">G34*VLOOKUP(YEAR(D34),$O$20:$P$26,2,TRUE)</f>
        <v>11883.359999999999</v>
      </c>
      <c r="K34" s="16">
        <f t="shared" si="2"/>
        <v>55797.475734055413</v>
      </c>
    </row>
    <row r="35" spans="1:20" ht="13.8" x14ac:dyDescent="0.25">
      <c r="A35" s="4">
        <v>20122</v>
      </c>
      <c r="B35" s="4" t="s">
        <v>32</v>
      </c>
      <c r="C35" s="4" t="s">
        <v>68</v>
      </c>
      <c r="D35" s="5">
        <v>39730</v>
      </c>
      <c r="E35" s="4">
        <v>3</v>
      </c>
      <c r="F35" s="1">
        <v>2</v>
      </c>
      <c r="G35" s="8">
        <v>173625</v>
      </c>
      <c r="H35" s="1" t="str">
        <f>VLOOKUP(E35,'נתוני עזר'!$B$4:$C$7,2,FALSE)</f>
        <v>צ'קים</v>
      </c>
      <c r="I35" s="15">
        <f t="shared" si="1"/>
        <v>12153.750000000002</v>
      </c>
      <c r="J35" s="1">
        <f t="shared" si="3"/>
        <v>12153.750000000002</v>
      </c>
      <c r="K35" s="16">
        <f t="shared" si="2"/>
        <v>48394.265417424358</v>
      </c>
      <c r="N35" s="19" t="s">
        <v>105</v>
      </c>
      <c r="O35" s="19" t="s">
        <v>103</v>
      </c>
    </row>
    <row r="36" spans="1:20" ht="13.8" x14ac:dyDescent="0.25">
      <c r="A36" s="4">
        <v>20114</v>
      </c>
      <c r="B36" s="4" t="s">
        <v>19</v>
      </c>
      <c r="C36" s="4" t="s">
        <v>68</v>
      </c>
      <c r="D36" s="5">
        <v>42204</v>
      </c>
      <c r="E36" s="4">
        <v>2</v>
      </c>
      <c r="F36" s="1">
        <v>7</v>
      </c>
      <c r="G36" s="8">
        <v>78874</v>
      </c>
      <c r="H36" s="1" t="str">
        <f>VLOOKUP(E36,'נתוני עזר'!$B$4:$C$7,2,FALSE)</f>
        <v>מזומן</v>
      </c>
      <c r="I36" s="15">
        <f t="shared" si="1"/>
        <v>3154.96</v>
      </c>
      <c r="J36" s="1">
        <f t="shared" si="3"/>
        <v>3154.96</v>
      </c>
      <c r="K36" s="16">
        <f t="shared" si="2"/>
        <v>22693.620808116437</v>
      </c>
      <c r="O36" s="26" t="s">
        <v>100</v>
      </c>
      <c r="P36" s="17"/>
      <c r="R36" s="19" t="s">
        <v>105</v>
      </c>
      <c r="S36" s="19" t="s">
        <v>107</v>
      </c>
    </row>
    <row r="37" spans="1:20" ht="13.8" x14ac:dyDescent="0.25">
      <c r="A37" s="4">
        <v>20156</v>
      </c>
      <c r="B37" s="4" t="s">
        <v>22</v>
      </c>
      <c r="C37" s="4" t="s">
        <v>73</v>
      </c>
      <c r="D37" s="5">
        <v>40991</v>
      </c>
      <c r="E37" s="4">
        <v>2</v>
      </c>
      <c r="F37" s="1">
        <v>1</v>
      </c>
      <c r="G37" s="8">
        <v>110947</v>
      </c>
      <c r="H37" s="1" t="str">
        <f>VLOOKUP(E37,'נתוני עזר'!$B$4:$C$7,2,FALSE)</f>
        <v>מזומן</v>
      </c>
      <c r="I37" s="15">
        <f t="shared" si="1"/>
        <v>8875.76</v>
      </c>
      <c r="J37" s="1">
        <f t="shared" si="3"/>
        <v>8875.76</v>
      </c>
      <c r="K37" s="16">
        <f t="shared" si="2"/>
        <v>30591.592497398899</v>
      </c>
      <c r="O37" s="17"/>
      <c r="P37" s="17"/>
      <c r="S37" s="27"/>
      <c r="T37" s="22">
        <f>P46</f>
        <v>110000.00007963393</v>
      </c>
    </row>
    <row r="38" spans="1:20" ht="13.8" x14ac:dyDescent="0.25">
      <c r="A38" s="4">
        <v>20125</v>
      </c>
      <c r="B38" s="4" t="s">
        <v>39</v>
      </c>
      <c r="C38" s="4" t="s">
        <v>80</v>
      </c>
      <c r="D38" s="5">
        <v>38782</v>
      </c>
      <c r="E38" s="4">
        <v>3</v>
      </c>
      <c r="F38" s="1">
        <v>4</v>
      </c>
      <c r="G38" s="8">
        <v>194622</v>
      </c>
      <c r="H38" s="1" t="str">
        <f>VLOOKUP(E38,'נתוני עזר'!$B$4:$C$7,2,FALSE)</f>
        <v>צ'קים</v>
      </c>
      <c r="I38" s="15">
        <f t="shared" si="1"/>
        <v>13623.54</v>
      </c>
      <c r="J38" s="1">
        <f t="shared" si="3"/>
        <v>13623.54</v>
      </c>
      <c r="K38" s="16">
        <f t="shared" si="2"/>
        <v>54246.731312138014</v>
      </c>
      <c r="O38" s="17"/>
      <c r="P38" s="17"/>
      <c r="S38" s="21">
        <v>3</v>
      </c>
      <c r="T38" s="23">
        <f t="dataTable" ref="T38:T46" dt2D="0" dtr="0" r1="O31"/>
        <v>122341.2</v>
      </c>
    </row>
    <row r="39" spans="1:20" ht="13.8" x14ac:dyDescent="0.25">
      <c r="A39" s="4">
        <v>20132</v>
      </c>
      <c r="B39" s="4" t="s">
        <v>43</v>
      </c>
      <c r="C39" s="4" t="s">
        <v>78</v>
      </c>
      <c r="D39" s="5">
        <v>40782</v>
      </c>
      <c r="E39" s="4">
        <v>5</v>
      </c>
      <c r="F39" s="1">
        <v>4</v>
      </c>
      <c r="G39" s="8">
        <v>133542</v>
      </c>
      <c r="H39" s="1" t="e">
        <f>VLOOKUP(E39,'נתוני עזר'!$B$4:$C$7,2,FALSE)</f>
        <v>#N/A</v>
      </c>
      <c r="I39" s="15">
        <f t="shared" si="1"/>
        <v>10683.36</v>
      </c>
      <c r="J39" s="1">
        <f t="shared" si="3"/>
        <v>10683.36</v>
      </c>
      <c r="K39" s="16">
        <f t="shared" si="2"/>
        <v>36821.747728984505</v>
      </c>
      <c r="O39" s="17"/>
      <c r="P39" s="17" t="s">
        <v>68</v>
      </c>
      <c r="S39" s="21">
        <v>3.1</v>
      </c>
      <c r="T39" s="23">
        <v>118394.70967741933</v>
      </c>
    </row>
    <row r="40" spans="1:20" ht="13.8" x14ac:dyDescent="0.25">
      <c r="A40" s="4">
        <v>20133</v>
      </c>
      <c r="B40" s="4" t="s">
        <v>35</v>
      </c>
      <c r="C40" s="4" t="s">
        <v>68</v>
      </c>
      <c r="D40" s="5">
        <v>41646</v>
      </c>
      <c r="E40" s="4">
        <v>3</v>
      </c>
      <c r="F40" s="1">
        <v>10</v>
      </c>
      <c r="G40" s="8">
        <v>75605</v>
      </c>
      <c r="H40" s="1" t="str">
        <f>VLOOKUP(E40,'נתוני עזר'!$B$4:$C$7,2,FALSE)</f>
        <v>צ'קים</v>
      </c>
      <c r="I40" s="15">
        <f t="shared" si="1"/>
        <v>6804.45</v>
      </c>
      <c r="J40" s="1">
        <f t="shared" si="3"/>
        <v>6804.45</v>
      </c>
      <c r="K40" s="16">
        <f t="shared" si="2"/>
        <v>20620.092292372639</v>
      </c>
      <c r="O40" s="17"/>
      <c r="P40" s="17">
        <v>2007</v>
      </c>
      <c r="S40" s="21">
        <v>3.2</v>
      </c>
      <c r="T40" s="23">
        <v>114694.87499999999</v>
      </c>
    </row>
    <row r="41" spans="1:20" ht="13.8" x14ac:dyDescent="0.25">
      <c r="A41" s="4">
        <v>20123</v>
      </c>
      <c r="B41" s="4" t="s">
        <v>37</v>
      </c>
      <c r="C41" s="4" t="s">
        <v>75</v>
      </c>
      <c r="D41" s="5">
        <v>42394</v>
      </c>
      <c r="E41" s="4">
        <v>4</v>
      </c>
      <c r="F41" s="1">
        <v>5</v>
      </c>
      <c r="G41" s="8">
        <v>165842</v>
      </c>
      <c r="H41" s="1" t="str">
        <f>VLOOKUP(E41,'נתוני עזר'!$B$4:$C$7,2,FALSE)</f>
        <v>מס"ב</v>
      </c>
      <c r="I41" s="15">
        <f t="shared" si="1"/>
        <v>6633.68</v>
      </c>
      <c r="J41" s="1">
        <f t="shared" si="3"/>
        <v>6633.68</v>
      </c>
      <c r="K41" s="16">
        <f t="shared" si="2"/>
        <v>47716.046632092286</v>
      </c>
      <c r="O41" s="17"/>
      <c r="P41" s="17">
        <v>2012</v>
      </c>
      <c r="S41" s="21">
        <v>3.3</v>
      </c>
      <c r="T41" s="23">
        <v>111219.27272727274</v>
      </c>
    </row>
    <row r="42" spans="1:20" ht="13.8" x14ac:dyDescent="0.25">
      <c r="A42" s="4">
        <v>20150</v>
      </c>
      <c r="B42" s="4" t="s">
        <v>42</v>
      </c>
      <c r="C42" s="4" t="s">
        <v>68</v>
      </c>
      <c r="D42" s="5">
        <v>39651</v>
      </c>
      <c r="E42" s="4">
        <v>1</v>
      </c>
      <c r="F42" s="1">
        <v>1</v>
      </c>
      <c r="G42" s="8">
        <v>67325</v>
      </c>
      <c r="H42" s="1" t="str">
        <f>VLOOKUP(E42,'נתוני עזר'!$B$4:$C$7,2,FALSE)</f>
        <v>העברה בנקאית</v>
      </c>
      <c r="I42" s="15">
        <f t="shared" si="1"/>
        <v>4712.75</v>
      </c>
      <c r="J42" s="1">
        <f t="shared" si="3"/>
        <v>4712.75</v>
      </c>
      <c r="K42" s="16">
        <f t="shared" si="2"/>
        <v>18765.407742134455</v>
      </c>
      <c r="O42" s="17"/>
      <c r="P42" s="17"/>
      <c r="S42" s="21">
        <v>3.4</v>
      </c>
      <c r="T42" s="23">
        <v>107948.11764705883</v>
      </c>
    </row>
    <row r="43" spans="1:20" ht="13.8" x14ac:dyDescent="0.25">
      <c r="A43" s="4">
        <v>20127</v>
      </c>
      <c r="B43" s="4" t="s">
        <v>40</v>
      </c>
      <c r="C43" s="4" t="s">
        <v>69</v>
      </c>
      <c r="D43" s="5">
        <v>38857</v>
      </c>
      <c r="E43" s="4">
        <v>3</v>
      </c>
      <c r="F43" s="1">
        <v>6</v>
      </c>
      <c r="G43" s="8">
        <v>128037</v>
      </c>
      <c r="H43" s="1" t="str">
        <f>VLOOKUP(E43,'נתוני עזר'!$B$4:$C$7,2,FALSE)</f>
        <v>צ'קים</v>
      </c>
      <c r="I43" s="15">
        <f t="shared" si="1"/>
        <v>8962.59</v>
      </c>
      <c r="J43" s="1">
        <f t="shared" si="3"/>
        <v>8962.59</v>
      </c>
      <c r="K43" s="16">
        <f t="shared" si="2"/>
        <v>35687.582786181498</v>
      </c>
      <c r="O43" s="17"/>
      <c r="P43" s="17"/>
      <c r="S43" s="21">
        <v>3.5</v>
      </c>
      <c r="T43" s="23">
        <v>104863.88571428572</v>
      </c>
    </row>
    <row r="44" spans="1:20" ht="13.8" x14ac:dyDescent="0.25">
      <c r="A44" s="4">
        <v>20111</v>
      </c>
      <c r="B44" s="4" t="s">
        <v>38</v>
      </c>
      <c r="C44" s="4" t="s">
        <v>76</v>
      </c>
      <c r="D44" s="5">
        <v>42187</v>
      </c>
      <c r="E44" s="4">
        <v>1</v>
      </c>
      <c r="F44" s="1">
        <v>1</v>
      </c>
      <c r="G44" s="8">
        <v>183655</v>
      </c>
      <c r="H44" s="1" t="str">
        <f>VLOOKUP(E44,'נתוני עזר'!$B$4:$C$7,2,FALSE)</f>
        <v>העברה בנקאית</v>
      </c>
      <c r="I44" s="15">
        <f t="shared" si="1"/>
        <v>7346.2</v>
      </c>
      <c r="J44" s="1">
        <f t="shared" si="3"/>
        <v>7346.2</v>
      </c>
      <c r="K44" s="16">
        <f t="shared" si="2"/>
        <v>52841.201530474231</v>
      </c>
      <c r="O44" s="17"/>
      <c r="P44" s="17" t="b">
        <f>AND(OR(YEAR(D2)=$P$40,YEAR(D2)=$P$41),C2=$P$39)</f>
        <v>0</v>
      </c>
      <c r="S44" s="21">
        <v>3.6</v>
      </c>
      <c r="T44" s="23">
        <v>101951</v>
      </c>
    </row>
    <row r="45" spans="1:20" ht="13.8" x14ac:dyDescent="0.25">
      <c r="A45" s="4">
        <v>20151</v>
      </c>
      <c r="B45" s="4" t="s">
        <v>36</v>
      </c>
      <c r="C45" s="4" t="s">
        <v>77</v>
      </c>
      <c r="D45" s="5">
        <v>40368</v>
      </c>
      <c r="E45" s="4">
        <v>1</v>
      </c>
      <c r="F45" s="1">
        <v>7</v>
      </c>
      <c r="G45" s="8">
        <v>69698</v>
      </c>
      <c r="H45" s="1" t="str">
        <f>VLOOKUP(E45,'נתוני עזר'!$B$4:$C$7,2,FALSE)</f>
        <v>העברה בנקאית</v>
      </c>
      <c r="I45" s="15">
        <f t="shared" si="1"/>
        <v>4181.88</v>
      </c>
      <c r="J45" s="1">
        <f t="shared" si="3"/>
        <v>4181.88</v>
      </c>
      <c r="K45" s="16">
        <f t="shared" si="2"/>
        <v>19635.721531850559</v>
      </c>
      <c r="O45" s="17"/>
      <c r="P45" s="17"/>
      <c r="S45" s="21">
        <v>3.7</v>
      </c>
      <c r="T45" s="23">
        <v>99195.567567567559</v>
      </c>
    </row>
    <row r="46" spans="1:20" ht="13.8" x14ac:dyDescent="0.25">
      <c r="A46" s="4">
        <v>20152</v>
      </c>
      <c r="B46" s="4" t="s">
        <v>41</v>
      </c>
      <c r="C46" s="4" t="s">
        <v>69</v>
      </c>
      <c r="D46" s="5">
        <v>39430</v>
      </c>
      <c r="E46" s="4">
        <v>3</v>
      </c>
      <c r="F46" s="1">
        <v>9</v>
      </c>
      <c r="G46" s="8">
        <v>157573</v>
      </c>
      <c r="H46" s="1" t="str">
        <f>VLOOKUP(E46,'נתוני עזר'!$B$4:$C$7,2,FALSE)</f>
        <v>צ'קים</v>
      </c>
      <c r="I46" s="15">
        <f t="shared" si="1"/>
        <v>11030.11</v>
      </c>
      <c r="J46" s="1">
        <f t="shared" si="3"/>
        <v>11030.11</v>
      </c>
      <c r="K46" s="16">
        <f t="shared" si="2"/>
        <v>43920.112798386232</v>
      </c>
      <c r="O46" s="19" t="s">
        <v>102</v>
      </c>
      <c r="P46" s="20">
        <f>DSUM(A1:K65,K1,P43:P44)</f>
        <v>110000.00007963393</v>
      </c>
      <c r="S46" s="21">
        <v>3.8</v>
      </c>
      <c r="T46" s="23">
        <v>96585.157894736854</v>
      </c>
    </row>
    <row r="47" spans="1:20" ht="13.8" x14ac:dyDescent="0.25">
      <c r="A47" s="4">
        <v>20134</v>
      </c>
      <c r="B47" s="4" t="s">
        <v>56</v>
      </c>
      <c r="C47" s="4" t="s">
        <v>72</v>
      </c>
      <c r="D47" s="5">
        <v>39708</v>
      </c>
      <c r="E47" s="4">
        <v>3</v>
      </c>
      <c r="F47" s="1">
        <v>1</v>
      </c>
      <c r="G47" s="8">
        <v>79729</v>
      </c>
      <c r="H47" s="1" t="str">
        <f>VLOOKUP(E47,'נתוני עזר'!$B$4:$C$7,2,FALSE)</f>
        <v>צ'קים</v>
      </c>
      <c r="I47" s="15">
        <f t="shared" si="1"/>
        <v>5581.0300000000007</v>
      </c>
      <c r="J47" s="1">
        <f t="shared" si="3"/>
        <v>5581.0300000000007</v>
      </c>
      <c r="K47" s="16">
        <f t="shared" si="2"/>
        <v>22222.758171149471</v>
      </c>
    </row>
    <row r="48" spans="1:20" ht="13.8" x14ac:dyDescent="0.25">
      <c r="A48" s="4">
        <v>20157</v>
      </c>
      <c r="B48" s="4" t="s">
        <v>51</v>
      </c>
      <c r="C48" s="4" t="s">
        <v>70</v>
      </c>
      <c r="D48" s="5">
        <v>38876</v>
      </c>
      <c r="E48" s="4">
        <v>2</v>
      </c>
      <c r="F48" s="1">
        <v>9</v>
      </c>
      <c r="G48" s="8">
        <v>75869</v>
      </c>
      <c r="H48" s="1" t="str">
        <f>VLOOKUP(E48,'נתוני עזר'!$B$4:$C$7,2,FALSE)</f>
        <v>מזומן</v>
      </c>
      <c r="I48" s="15">
        <f t="shared" si="1"/>
        <v>5310.8300000000008</v>
      </c>
      <c r="J48" s="1">
        <f t="shared" si="3"/>
        <v>5310.8300000000008</v>
      </c>
      <c r="K48" s="16">
        <f t="shared" si="2"/>
        <v>21146.865502978078</v>
      </c>
    </row>
    <row r="49" spans="1:16" ht="13.8" x14ac:dyDescent="0.25">
      <c r="A49" s="4">
        <v>20158</v>
      </c>
      <c r="B49" s="4" t="s">
        <v>55</v>
      </c>
      <c r="C49" s="4" t="s">
        <v>68</v>
      </c>
      <c r="D49" s="5">
        <v>39287</v>
      </c>
      <c r="E49" s="4">
        <v>3</v>
      </c>
      <c r="F49" s="1">
        <v>6</v>
      </c>
      <c r="G49" s="8">
        <v>124264</v>
      </c>
      <c r="H49" s="1" t="str">
        <f>VLOOKUP(E49,'נתוני עזר'!$B$4:$C$7,2,FALSE)</f>
        <v>צ'קים</v>
      </c>
      <c r="I49" s="15">
        <f t="shared" si="1"/>
        <v>8698.4800000000014</v>
      </c>
      <c r="J49" s="1">
        <f t="shared" si="3"/>
        <v>8698.4800000000014</v>
      </c>
      <c r="K49" s="16">
        <f t="shared" si="2"/>
        <v>34635.939512344543</v>
      </c>
    </row>
    <row r="50" spans="1:16" ht="13.8" x14ac:dyDescent="0.25">
      <c r="A50" s="4">
        <v>20118</v>
      </c>
      <c r="B50" s="4" t="s">
        <v>57</v>
      </c>
      <c r="C50" s="4" t="s">
        <v>78</v>
      </c>
      <c r="D50" s="5">
        <v>41536</v>
      </c>
      <c r="E50" s="4">
        <v>4</v>
      </c>
      <c r="F50" s="1">
        <v>5</v>
      </c>
      <c r="G50" s="8">
        <v>61489</v>
      </c>
      <c r="H50" s="1" t="str">
        <f>VLOOKUP(E50,'נתוני עזר'!$B$4:$C$7,2,FALSE)</f>
        <v>מס"ב</v>
      </c>
      <c r="I50" s="15">
        <f t="shared" si="1"/>
        <v>5534.01</v>
      </c>
      <c r="J50" s="1">
        <f t="shared" si="3"/>
        <v>5534.01</v>
      </c>
      <c r="K50" s="16">
        <f t="shared" si="2"/>
        <v>16770.172011979383</v>
      </c>
    </row>
    <row r="51" spans="1:16" ht="13.8" x14ac:dyDescent="0.25">
      <c r="A51" s="4">
        <v>20143</v>
      </c>
      <c r="B51" s="4" t="s">
        <v>46</v>
      </c>
      <c r="C51" s="4" t="s">
        <v>71</v>
      </c>
      <c r="D51" s="5">
        <v>38966</v>
      </c>
      <c r="E51" s="4">
        <v>2</v>
      </c>
      <c r="F51" s="1">
        <v>5</v>
      </c>
      <c r="G51" s="8">
        <v>199670</v>
      </c>
      <c r="H51" s="1" t="str">
        <f>VLOOKUP(E51,'נתוני עזר'!$B$4:$C$7,2,FALSE)</f>
        <v>מזומן</v>
      </c>
      <c r="I51" s="15">
        <f t="shared" si="1"/>
        <v>13976.900000000001</v>
      </c>
      <c r="J51" s="1">
        <f t="shared" si="3"/>
        <v>13976.900000000001</v>
      </c>
      <c r="K51" s="16">
        <f t="shared" si="2"/>
        <v>55653.753640876152</v>
      </c>
      <c r="O51" s="19" t="s">
        <v>108</v>
      </c>
      <c r="P51" s="19" t="s">
        <v>109</v>
      </c>
    </row>
    <row r="52" spans="1:16" ht="13.8" x14ac:dyDescent="0.25">
      <c r="A52" s="4">
        <v>20129</v>
      </c>
      <c r="B52" s="4" t="s">
        <v>53</v>
      </c>
      <c r="C52" s="4" t="s">
        <v>79</v>
      </c>
      <c r="D52" s="5">
        <v>42361</v>
      </c>
      <c r="E52" s="4">
        <v>3</v>
      </c>
      <c r="F52" s="1">
        <v>9</v>
      </c>
      <c r="G52" s="8">
        <v>160646</v>
      </c>
      <c r="H52" s="1" t="str">
        <f>VLOOKUP(E52,'נתוני עזר'!$B$4:$C$7,2,FALSE)</f>
        <v>צ'קים</v>
      </c>
      <c r="I52" s="15">
        <f t="shared" si="1"/>
        <v>6425.84</v>
      </c>
      <c r="J52" s="1">
        <f t="shared" si="3"/>
        <v>6425.84</v>
      </c>
      <c r="K52" s="16">
        <f t="shared" si="2"/>
        <v>46221.05393844199</v>
      </c>
      <c r="O52" s="17"/>
      <c r="P52" s="17"/>
    </row>
    <row r="53" spans="1:16" ht="13.8" x14ac:dyDescent="0.25">
      <c r="A53" s="4">
        <v>20159</v>
      </c>
      <c r="B53" s="4" t="s">
        <v>47</v>
      </c>
      <c r="C53" s="4" t="s">
        <v>70</v>
      </c>
      <c r="D53" s="5">
        <v>39688</v>
      </c>
      <c r="E53" s="4">
        <v>4</v>
      </c>
      <c r="F53" s="1">
        <v>10</v>
      </c>
      <c r="G53" s="8">
        <v>188588</v>
      </c>
      <c r="H53" s="1" t="str">
        <f>VLOOKUP(E53,'נתוני עזר'!$B$4:$C$7,2,FALSE)</f>
        <v>מס"ב</v>
      </c>
      <c r="I53" s="15">
        <f t="shared" si="1"/>
        <v>13201.160000000002</v>
      </c>
      <c r="J53" s="1">
        <f t="shared" si="3"/>
        <v>13201.160000000002</v>
      </c>
      <c r="K53" s="16">
        <f t="shared" si="2"/>
        <v>52564.882514276316</v>
      </c>
      <c r="O53" s="21" t="s">
        <v>111</v>
      </c>
      <c r="P53" s="22">
        <f>P46</f>
        <v>110000.00007963393</v>
      </c>
    </row>
    <row r="54" spans="1:16" ht="13.8" x14ac:dyDescent="0.25">
      <c r="A54" s="4">
        <v>20144</v>
      </c>
      <c r="B54" s="4" t="s">
        <v>44</v>
      </c>
      <c r="C54" s="4" t="s">
        <v>68</v>
      </c>
      <c r="D54" s="5">
        <v>43084</v>
      </c>
      <c r="E54" s="4">
        <v>2</v>
      </c>
      <c r="F54" s="1">
        <v>9</v>
      </c>
      <c r="G54" s="8">
        <v>161030</v>
      </c>
      <c r="H54" s="1" t="str">
        <f>VLOOKUP(E54,'נתוני עזר'!$B$4:$C$7,2,FALSE)</f>
        <v>מזומן</v>
      </c>
      <c r="I54" s="15">
        <f t="shared" si="1"/>
        <v>11272.1</v>
      </c>
      <c r="J54" s="1">
        <f t="shared" si="3"/>
        <v>11272.1</v>
      </c>
      <c r="K54" s="16">
        <f t="shared" si="2"/>
        <v>44883.677812341797</v>
      </c>
      <c r="O54" s="19" t="s">
        <v>110</v>
      </c>
      <c r="P54" s="19">
        <f>O31</f>
        <v>3.3365781794026832</v>
      </c>
    </row>
    <row r="55" spans="1:16" ht="13.8" x14ac:dyDescent="0.25">
      <c r="A55" s="4">
        <v>20135</v>
      </c>
      <c r="B55" s="4" t="s">
        <v>58</v>
      </c>
      <c r="C55" s="4" t="s">
        <v>68</v>
      </c>
      <c r="D55" s="5">
        <v>41473</v>
      </c>
      <c r="E55" s="4">
        <v>4</v>
      </c>
      <c r="F55" s="1">
        <v>6</v>
      </c>
      <c r="G55" s="8">
        <v>65506</v>
      </c>
      <c r="H55" s="1" t="str">
        <f>VLOOKUP(E55,'נתוני עזר'!$B$4:$C$7,2,FALSE)</f>
        <v>מס"ב</v>
      </c>
      <c r="I55" s="15">
        <f t="shared" si="1"/>
        <v>5895.54</v>
      </c>
      <c r="J55" s="1">
        <f t="shared" si="3"/>
        <v>5895.54</v>
      </c>
      <c r="K55" s="16">
        <f t="shared" si="2"/>
        <v>17865.746520787805</v>
      </c>
    </row>
    <row r="56" spans="1:16" ht="13.8" x14ac:dyDescent="0.25">
      <c r="A56" s="4">
        <v>20136</v>
      </c>
      <c r="B56" s="4" t="s">
        <v>54</v>
      </c>
      <c r="C56" s="4" t="s">
        <v>79</v>
      </c>
      <c r="D56" s="5">
        <v>42448</v>
      </c>
      <c r="E56" s="4">
        <v>2</v>
      </c>
      <c r="F56" s="1">
        <v>2</v>
      </c>
      <c r="G56" s="8">
        <v>157943</v>
      </c>
      <c r="H56" s="1" t="str">
        <f>VLOOKUP(E56,'נתוני עזר'!$B$4:$C$7,2,FALSE)</f>
        <v>מזומן</v>
      </c>
      <c r="I56" s="15">
        <f t="shared" si="1"/>
        <v>6317.72</v>
      </c>
      <c r="J56" s="1">
        <f t="shared" si="3"/>
        <v>6317.72</v>
      </c>
      <c r="K56" s="16">
        <f t="shared" si="2"/>
        <v>45443.347000232461</v>
      </c>
    </row>
    <row r="57" spans="1:16" ht="13.8" x14ac:dyDescent="0.25">
      <c r="A57" s="4">
        <v>20145</v>
      </c>
      <c r="B57" s="4" t="s">
        <v>48</v>
      </c>
      <c r="C57" s="4" t="s">
        <v>69</v>
      </c>
      <c r="D57" s="5">
        <v>39688</v>
      </c>
      <c r="E57" s="4">
        <v>1</v>
      </c>
      <c r="F57" s="1">
        <v>6</v>
      </c>
      <c r="G57" s="8">
        <v>52386</v>
      </c>
      <c r="H57" s="1" t="str">
        <f>VLOOKUP(E57,'נתוני עזר'!$B$4:$C$7,2,FALSE)</f>
        <v>העברה בנקאית</v>
      </c>
      <c r="I57" s="15">
        <f t="shared" si="1"/>
        <v>3667.0200000000004</v>
      </c>
      <c r="J57" s="1">
        <f t="shared" si="3"/>
        <v>3667.0200000000004</v>
      </c>
      <c r="K57" s="16">
        <f t="shared" si="2"/>
        <v>14601.480133374758</v>
      </c>
    </row>
    <row r="58" spans="1:16" ht="13.8" x14ac:dyDescent="0.25">
      <c r="A58" s="4">
        <v>20160</v>
      </c>
      <c r="B58" s="4" t="s">
        <v>52</v>
      </c>
      <c r="C58" s="4" t="s">
        <v>75</v>
      </c>
      <c r="D58" s="5">
        <v>39522</v>
      </c>
      <c r="E58" s="4">
        <v>4</v>
      </c>
      <c r="F58" s="1">
        <v>2</v>
      </c>
      <c r="G58" s="8">
        <v>85300</v>
      </c>
      <c r="H58" s="1" t="str">
        <f>VLOOKUP(E58,'נתוני עזר'!$B$4:$C$7,2,FALSE)</f>
        <v>מס"ב</v>
      </c>
      <c r="I58" s="15">
        <f t="shared" si="1"/>
        <v>5971.0000000000009</v>
      </c>
      <c r="J58" s="1">
        <f t="shared" si="3"/>
        <v>5971.0000000000009</v>
      </c>
      <c r="K58" s="16">
        <f t="shared" si="2"/>
        <v>23775.55559456471</v>
      </c>
    </row>
    <row r="59" spans="1:16" ht="13.8" x14ac:dyDescent="0.25">
      <c r="A59" s="4">
        <v>20137</v>
      </c>
      <c r="B59" s="4" t="s">
        <v>59</v>
      </c>
      <c r="C59" s="4" t="s">
        <v>68</v>
      </c>
      <c r="D59" s="5">
        <v>41243</v>
      </c>
      <c r="E59" s="4">
        <v>4</v>
      </c>
      <c r="F59" s="1">
        <v>1</v>
      </c>
      <c r="G59" s="8">
        <v>157479</v>
      </c>
      <c r="H59" s="1" t="str">
        <f>VLOOKUP(E59,'נתוני עזר'!$B$4:$C$7,2,FALSE)</f>
        <v>מס"ב</v>
      </c>
      <c r="I59" s="15">
        <f t="shared" si="1"/>
        <v>12598.32</v>
      </c>
      <c r="J59" s="1">
        <f t="shared" si="3"/>
        <v>12598.32</v>
      </c>
      <c r="K59" s="16">
        <f t="shared" si="2"/>
        <v>43421.934751709203</v>
      </c>
    </row>
    <row r="60" spans="1:16" ht="13.8" x14ac:dyDescent="0.25">
      <c r="A60" s="4">
        <v>20116</v>
      </c>
      <c r="B60" s="4" t="s">
        <v>60</v>
      </c>
      <c r="C60" s="4" t="s">
        <v>72</v>
      </c>
      <c r="D60" s="5">
        <v>38973</v>
      </c>
      <c r="E60" s="4">
        <v>1</v>
      </c>
      <c r="F60" s="1">
        <v>4</v>
      </c>
      <c r="G60" s="8">
        <v>180892</v>
      </c>
      <c r="H60" s="1" t="str">
        <f>VLOOKUP(E60,'נתוני עזר'!$B$4:$C$7,2,FALSE)</f>
        <v>העברה בנקאית</v>
      </c>
      <c r="I60" s="15">
        <f t="shared" si="1"/>
        <v>12662.44</v>
      </c>
      <c r="J60" s="1">
        <f t="shared" si="3"/>
        <v>12662.44</v>
      </c>
      <c r="K60" s="16">
        <f t="shared" si="2"/>
        <v>50419.786666025786</v>
      </c>
    </row>
    <row r="61" spans="1:16" ht="13.8" x14ac:dyDescent="0.25">
      <c r="A61" s="4">
        <v>20161</v>
      </c>
      <c r="B61" s="4" t="s">
        <v>67</v>
      </c>
      <c r="C61" s="4" t="s">
        <v>73</v>
      </c>
      <c r="D61" s="5">
        <v>39662</v>
      </c>
      <c r="E61" s="4">
        <v>3</v>
      </c>
      <c r="F61" s="1">
        <v>2</v>
      </c>
      <c r="G61" s="8">
        <v>87755</v>
      </c>
      <c r="H61" s="1" t="str">
        <f>VLOOKUP(E61,'נתוני עזר'!$B$4:$C$7,2,FALSE)</f>
        <v>צ'קים</v>
      </c>
      <c r="I61" s="15">
        <f t="shared" si="1"/>
        <v>6142.85</v>
      </c>
      <c r="J61" s="1">
        <f t="shared" si="3"/>
        <v>6142.85</v>
      </c>
      <c r="K61" s="16">
        <f t="shared" si="2"/>
        <v>24459.834480668535</v>
      </c>
    </row>
    <row r="62" spans="1:16" ht="13.8" x14ac:dyDescent="0.25">
      <c r="A62" s="4">
        <v>20146</v>
      </c>
      <c r="B62" s="4" t="s">
        <v>29</v>
      </c>
      <c r="C62" s="4" t="s">
        <v>71</v>
      </c>
      <c r="D62" s="5">
        <v>39448</v>
      </c>
      <c r="E62" s="4">
        <v>5</v>
      </c>
      <c r="F62" s="1">
        <v>8</v>
      </c>
      <c r="G62" s="8">
        <v>119848</v>
      </c>
      <c r="H62" s="1" t="e">
        <f>VLOOKUP(E62,'נתוני עזר'!$B$4:$C$7,2,FALSE)</f>
        <v>#N/A</v>
      </c>
      <c r="I62" s="15">
        <f t="shared" si="1"/>
        <v>8389.36</v>
      </c>
      <c r="J62" s="1">
        <f t="shared" si="3"/>
        <v>8389.36</v>
      </c>
      <c r="K62" s="16">
        <f t="shared" si="2"/>
        <v>33405.073703369184</v>
      </c>
    </row>
    <row r="63" spans="1:16" ht="13.8" x14ac:dyDescent="0.25">
      <c r="A63" s="4">
        <v>20106</v>
      </c>
      <c r="B63" s="4" t="s">
        <v>0</v>
      </c>
      <c r="C63" s="4" t="s">
        <v>71</v>
      </c>
      <c r="D63" s="5">
        <v>41649</v>
      </c>
      <c r="E63" s="4">
        <v>2</v>
      </c>
      <c r="F63" s="1">
        <v>3</v>
      </c>
      <c r="G63" s="8">
        <v>168416</v>
      </c>
      <c r="H63" s="1" t="str">
        <f>VLOOKUP(E63,'נתוני עזר'!$B$4:$C$7,2,FALSE)</f>
        <v>מזומן</v>
      </c>
      <c r="I63" s="15">
        <f t="shared" si="1"/>
        <v>15157.439999999999</v>
      </c>
      <c r="J63" s="1">
        <f t="shared" si="3"/>
        <v>15157.439999999999</v>
      </c>
      <c r="K63" s="16">
        <f t="shared" si="2"/>
        <v>45932.854487298857</v>
      </c>
    </row>
    <row r="64" spans="1:16" ht="13.8" x14ac:dyDescent="0.25">
      <c r="A64" s="4">
        <v>20162</v>
      </c>
      <c r="B64" s="4" t="s">
        <v>50</v>
      </c>
      <c r="C64" s="4" t="s">
        <v>78</v>
      </c>
      <c r="D64" s="5">
        <v>40285</v>
      </c>
      <c r="E64" s="4">
        <v>1</v>
      </c>
      <c r="F64" s="1">
        <v>5</v>
      </c>
      <c r="G64" s="8">
        <v>179795</v>
      </c>
      <c r="H64" s="1" t="str">
        <f>VLOOKUP(E64,'נתוני עזר'!$B$4:$C$7,2,FALSE)</f>
        <v>העברה בנקאית</v>
      </c>
      <c r="I64" s="15">
        <f t="shared" si="1"/>
        <v>10787.699999999999</v>
      </c>
      <c r="J64" s="1">
        <f t="shared" si="3"/>
        <v>10787.699999999999</v>
      </c>
      <c r="K64" s="16">
        <f t="shared" si="2"/>
        <v>50652.881758717194</v>
      </c>
    </row>
    <row r="65" spans="1:11" ht="13.8" x14ac:dyDescent="0.25">
      <c r="A65" s="4">
        <v>20163</v>
      </c>
      <c r="B65" s="4" t="s">
        <v>49</v>
      </c>
      <c r="C65" s="4" t="s">
        <v>69</v>
      </c>
      <c r="D65" s="5">
        <v>39892</v>
      </c>
      <c r="E65" s="4">
        <v>3</v>
      </c>
      <c r="F65" s="1">
        <v>5</v>
      </c>
      <c r="G65" s="8">
        <v>69566</v>
      </c>
      <c r="H65" s="1" t="str">
        <f>VLOOKUP(E65,'נתוני עזר'!$B$4:$C$7,2,FALSE)</f>
        <v>צ'קים</v>
      </c>
      <c r="I65" s="15">
        <f t="shared" si="1"/>
        <v>4173.96</v>
      </c>
      <c r="J65" s="1">
        <f t="shared" si="3"/>
        <v>4173.96</v>
      </c>
      <c r="K65" s="16">
        <f t="shared" si="2"/>
        <v>19598.533732455966</v>
      </c>
    </row>
    <row r="67" spans="1:11" x14ac:dyDescent="0.25">
      <c r="D67" s="2"/>
    </row>
    <row r="68" spans="1:11" x14ac:dyDescent="0.25">
      <c r="D68" s="2"/>
    </row>
    <row r="69" spans="1:11" x14ac:dyDescent="0.25">
      <c r="D69" s="2"/>
    </row>
  </sheetData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F90F-7477-4E4C-95FB-0E856D5378F3}">
  <dimension ref="B5:E10"/>
  <sheetViews>
    <sheetView rightToLeft="1" workbookViewId="0">
      <selection activeCell="C39" sqref="C39"/>
    </sheetView>
  </sheetViews>
  <sheetFormatPr defaultColWidth="11.5546875" defaultRowHeight="13.2" x14ac:dyDescent="0.25"/>
  <sheetData>
    <row r="5" spans="2:5" ht="27.6" x14ac:dyDescent="0.25">
      <c r="B5" s="6" t="s">
        <v>92</v>
      </c>
      <c r="C5" s="6" t="s">
        <v>88</v>
      </c>
      <c r="D5" s="6" t="s">
        <v>94</v>
      </c>
      <c r="E5" s="6" t="s">
        <v>112</v>
      </c>
    </row>
    <row r="6" spans="2:5" ht="13.8" x14ac:dyDescent="0.25">
      <c r="B6" s="4">
        <v>20139</v>
      </c>
      <c r="C6" s="5">
        <v>40146</v>
      </c>
      <c r="D6" s="1" t="s">
        <v>64</v>
      </c>
      <c r="E6" s="28">
        <v>45625</v>
      </c>
    </row>
    <row r="7" spans="2:5" ht="13.8" x14ac:dyDescent="0.25">
      <c r="B7" s="4">
        <v>20120</v>
      </c>
      <c r="C7" s="5">
        <v>41949</v>
      </c>
      <c r="D7" s="1" t="s">
        <v>64</v>
      </c>
      <c r="E7" s="28">
        <v>47428</v>
      </c>
    </row>
    <row r="8" spans="2:5" ht="13.8" x14ac:dyDescent="0.25">
      <c r="B8" s="4">
        <v>20114</v>
      </c>
      <c r="C8" s="5">
        <v>42204</v>
      </c>
      <c r="D8" s="1" t="s">
        <v>64</v>
      </c>
      <c r="E8" s="28">
        <v>44043</v>
      </c>
    </row>
    <row r="9" spans="2:5" ht="13.8" x14ac:dyDescent="0.25">
      <c r="B9" s="4">
        <v>20157</v>
      </c>
      <c r="C9" s="5">
        <v>38876</v>
      </c>
      <c r="D9" s="1" t="s">
        <v>64</v>
      </c>
      <c r="E9" s="28">
        <v>44355</v>
      </c>
    </row>
    <row r="10" spans="2:5" ht="13.8" x14ac:dyDescent="0.25">
      <c r="B10" s="4">
        <v>20144</v>
      </c>
      <c r="C10" s="5">
        <v>43084</v>
      </c>
      <c r="D10" s="1" t="s">
        <v>64</v>
      </c>
      <c r="E10" s="28">
        <v>48563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7BE7-C895-4B34-8C92-DE6EC99342B9}">
  <dimension ref="A1:AE91"/>
  <sheetViews>
    <sheetView rightToLeft="1" topLeftCell="B8" workbookViewId="0">
      <selection activeCell="T46" sqref="T46"/>
    </sheetView>
  </sheetViews>
  <sheetFormatPr defaultColWidth="8.77734375" defaultRowHeight="13.2" x14ac:dyDescent="0.25"/>
  <cols>
    <col min="1" max="1" width="11.77734375" style="1" customWidth="1"/>
    <col min="2" max="2" width="11.44140625" style="1" customWidth="1"/>
    <col min="3" max="3" width="15.6640625" style="1" customWidth="1"/>
    <col min="4" max="4" width="16.6640625" style="1" customWidth="1"/>
    <col min="5" max="5" width="11.33203125" style="1" customWidth="1"/>
    <col min="6" max="6" width="16.6640625" style="1" customWidth="1"/>
    <col min="7" max="7" width="16.33203125" style="1" customWidth="1"/>
    <col min="8" max="8" width="18.109375" style="1" customWidth="1"/>
    <col min="9" max="9" width="19" style="1" customWidth="1"/>
    <col min="10" max="10" width="24.109375" style="1" hidden="1" customWidth="1"/>
    <col min="11" max="11" width="21.33203125" style="1" hidden="1" customWidth="1"/>
    <col min="12" max="12" width="24.109375" style="1" customWidth="1"/>
    <col min="13" max="15" width="8.77734375" style="1"/>
    <col min="16" max="16" width="10.44140625" style="1" bestFit="1" customWidth="1"/>
    <col min="17" max="19" width="8.77734375" style="1"/>
    <col min="20" max="20" width="10.44140625" style="1" bestFit="1" customWidth="1"/>
    <col min="21" max="23" width="8.77734375" style="1"/>
    <col min="24" max="24" width="9.44140625" style="1" bestFit="1" customWidth="1"/>
    <col min="25" max="16384" width="8.77734375" style="1"/>
  </cols>
  <sheetData>
    <row r="1" spans="1:31" s="7" customFormat="1" ht="33.75" customHeight="1" x14ac:dyDescent="0.25">
      <c r="A1" s="6" t="s">
        <v>92</v>
      </c>
      <c r="B1" s="6" t="s">
        <v>87</v>
      </c>
      <c r="C1" s="6" t="s">
        <v>86</v>
      </c>
      <c r="D1" s="6" t="s">
        <v>88</v>
      </c>
      <c r="E1" s="6" t="s">
        <v>89</v>
      </c>
      <c r="F1" s="6" t="s">
        <v>90</v>
      </c>
      <c r="G1" s="6" t="s">
        <v>91</v>
      </c>
      <c r="H1" s="6" t="s">
        <v>94</v>
      </c>
      <c r="I1" s="6" t="s">
        <v>95</v>
      </c>
      <c r="J1" s="6" t="s">
        <v>98</v>
      </c>
      <c r="K1" s="6" t="s">
        <v>101</v>
      </c>
      <c r="L1" s="37" t="s">
        <v>101</v>
      </c>
      <c r="M1" s="6" t="s">
        <v>115</v>
      </c>
      <c r="N1" s="34" t="s">
        <v>96</v>
      </c>
    </row>
    <row r="2" spans="1:31" ht="13.8" x14ac:dyDescent="0.25">
      <c r="A2" s="4">
        <v>20103</v>
      </c>
      <c r="B2" s="4" t="s">
        <v>24</v>
      </c>
      <c r="C2" s="4" t="s">
        <v>74</v>
      </c>
      <c r="D2" s="5">
        <v>41907</v>
      </c>
      <c r="E2" s="4">
        <v>2</v>
      </c>
      <c r="F2" s="1">
        <v>8</v>
      </c>
      <c r="G2" s="8">
        <v>58313</v>
      </c>
      <c r="H2" s="1" t="str">
        <f>VLOOKUP(E2,'נתוני עזר'!$B$4:$C$7,2,FALSE)</f>
        <v>מזומן</v>
      </c>
      <c r="I2" s="15">
        <f t="shared" ref="I2:I65" si="0">G2*IF(YEAR(D2)&lt;=$R$5,$S$14,IF(YEAR(D2)&lt;=$R$6,$S$6,IF(YEAR(D2)&lt;=$R$8,$S$8,IF(YEAR(D2)&lt;=$R$10,$S$10,IF(YEAR(D2)&lt;=$R$12,$S$12,$S$14)))))</f>
        <v>5248.17</v>
      </c>
      <c r="J2" s="1">
        <f t="shared" ref="J2:J65" si="1">G2*VLOOKUP(YEAR(D2),$R$20:$S$26,2,TRUE)</f>
        <v>5248.17</v>
      </c>
      <c r="K2" s="16">
        <f t="shared" ref="K2:K65" si="2">(G2-J2)/$S$31</f>
        <v>15903.967222341455</v>
      </c>
      <c r="L2" s="16">
        <f>(G2-I2)/$S$31</f>
        <v>15903.967222341455</v>
      </c>
      <c r="M2" s="1" t="str">
        <f t="shared" ref="M2:M65" si="3">IF(L2=$V$16,$V$16,TEXT(L2,"mmmm"))</f>
        <v>יולי</v>
      </c>
      <c r="N2" s="1">
        <f>YEAR(D2)</f>
        <v>2014</v>
      </c>
      <c r="O2" s="28"/>
    </row>
    <row r="3" spans="1:31" ht="13.8" x14ac:dyDescent="0.25">
      <c r="A3" s="4">
        <v>20138</v>
      </c>
      <c r="B3" s="4" t="s">
        <v>14</v>
      </c>
      <c r="C3" s="4" t="s">
        <v>74</v>
      </c>
      <c r="D3" s="5">
        <v>42616</v>
      </c>
      <c r="E3" s="4">
        <v>4</v>
      </c>
      <c r="F3" s="1">
        <v>4</v>
      </c>
      <c r="G3" s="8">
        <v>127284</v>
      </c>
      <c r="H3" s="1" t="str">
        <f>VLOOKUP(E3,'נתוני עזר'!$B$4:$C$7,2,FALSE)</f>
        <v>מס"ב</v>
      </c>
      <c r="I3" s="15">
        <f t="shared" si="0"/>
        <v>5091.3599999999997</v>
      </c>
      <c r="J3" s="1">
        <f t="shared" si="1"/>
        <v>5091.3599999999997</v>
      </c>
      <c r="K3" s="16">
        <f t="shared" si="2"/>
        <v>36622.142035909084</v>
      </c>
      <c r="L3" s="16">
        <f t="shared" ref="L3:L65" si="4">(G3-I3)/$S$31</f>
        <v>36622.142035909084</v>
      </c>
      <c r="M3" s="1" t="str">
        <f t="shared" si="3"/>
        <v>אפריל</v>
      </c>
      <c r="N3" s="1">
        <f t="shared" ref="N3:N65" si="5">YEAR(D3)</f>
        <v>2016</v>
      </c>
    </row>
    <row r="4" spans="1:31" ht="13.8" x14ac:dyDescent="0.25">
      <c r="A4" s="4">
        <v>20107</v>
      </c>
      <c r="B4" s="4" t="s">
        <v>33</v>
      </c>
      <c r="C4" s="4" t="s">
        <v>75</v>
      </c>
      <c r="D4" s="5">
        <v>42821</v>
      </c>
      <c r="E4" s="4">
        <v>1</v>
      </c>
      <c r="F4" s="1">
        <v>5</v>
      </c>
      <c r="G4" s="8">
        <v>190177</v>
      </c>
      <c r="H4" s="1" t="str">
        <f>VLOOKUP(E4,'נתוני עזר'!$B$4:$C$7,2,FALSE)</f>
        <v>העברה בנקאית</v>
      </c>
      <c r="I4" s="15">
        <f t="shared" si="0"/>
        <v>13312.390000000001</v>
      </c>
      <c r="J4" s="1">
        <f t="shared" si="1"/>
        <v>13312.390000000001</v>
      </c>
      <c r="K4" s="16">
        <f t="shared" si="2"/>
        <v>53007.782371717847</v>
      </c>
      <c r="L4" s="16">
        <f t="shared" si="4"/>
        <v>53007.782371717847</v>
      </c>
      <c r="M4" s="1" t="str">
        <f t="shared" si="3"/>
        <v>פברואר</v>
      </c>
      <c r="N4" s="1">
        <f t="shared" si="5"/>
        <v>2017</v>
      </c>
      <c r="Q4" s="19" t="s">
        <v>104</v>
      </c>
      <c r="R4" s="19" t="s">
        <v>103</v>
      </c>
      <c r="AA4" s="32"/>
    </row>
    <row r="5" spans="1:31" ht="13.8" x14ac:dyDescent="0.25">
      <c r="A5" s="4">
        <v>20147</v>
      </c>
      <c r="B5" s="4" t="s">
        <v>34</v>
      </c>
      <c r="C5" s="4" t="s">
        <v>77</v>
      </c>
      <c r="D5" s="5">
        <v>41824</v>
      </c>
      <c r="E5" s="4">
        <v>3</v>
      </c>
      <c r="F5" s="1">
        <v>10</v>
      </c>
      <c r="G5" s="8">
        <v>185512</v>
      </c>
      <c r="H5" s="1" t="str">
        <f>VLOOKUP(E5,'נתוני עזר'!$B$4:$C$7,2,FALSE)</f>
        <v>צ'קים</v>
      </c>
      <c r="I5" s="15">
        <f t="shared" si="0"/>
        <v>16696.079999999998</v>
      </c>
      <c r="J5" s="1">
        <f t="shared" si="1"/>
        <v>16696.079999999998</v>
      </c>
      <c r="K5" s="16">
        <f t="shared" si="2"/>
        <v>50595.52359424156</v>
      </c>
      <c r="L5" s="16">
        <f t="shared" si="4"/>
        <v>50595.52359424156</v>
      </c>
      <c r="M5" s="1" t="str">
        <f t="shared" si="3"/>
        <v>יולי</v>
      </c>
      <c r="N5" s="1">
        <f t="shared" si="5"/>
        <v>2014</v>
      </c>
      <c r="R5" s="26">
        <v>2008</v>
      </c>
      <c r="S5" s="17"/>
      <c r="U5" s="34" t="s">
        <v>96</v>
      </c>
      <c r="V5" s="6" t="s">
        <v>86</v>
      </c>
      <c r="W5" s="32"/>
      <c r="X5" s="32"/>
    </row>
    <row r="6" spans="1:31" ht="13.8" x14ac:dyDescent="0.25">
      <c r="A6" s="4">
        <v>20104</v>
      </c>
      <c r="B6" s="4" t="s">
        <v>3</v>
      </c>
      <c r="C6" s="4" t="s">
        <v>80</v>
      </c>
      <c r="D6" s="5">
        <v>40307</v>
      </c>
      <c r="E6" s="4">
        <v>2</v>
      </c>
      <c r="F6" s="1">
        <v>8</v>
      </c>
      <c r="G6" s="8">
        <v>135549</v>
      </c>
      <c r="H6" s="1" t="str">
        <f>VLOOKUP(E6,'נתוני עזר'!$B$4:$C$7,2,FALSE)</f>
        <v>מזומן</v>
      </c>
      <c r="I6" s="15">
        <f t="shared" si="0"/>
        <v>8132.94</v>
      </c>
      <c r="J6" s="1">
        <f t="shared" si="1"/>
        <v>8132.94</v>
      </c>
      <c r="K6" s="16">
        <f t="shared" si="2"/>
        <v>38187.644091951151</v>
      </c>
      <c r="L6" s="16">
        <f t="shared" si="4"/>
        <v>38187.644091951151</v>
      </c>
      <c r="M6" s="1" t="str">
        <f t="shared" si="3"/>
        <v>יולי</v>
      </c>
      <c r="N6" s="1">
        <f t="shared" si="5"/>
        <v>2010</v>
      </c>
      <c r="R6" s="17">
        <v>2010</v>
      </c>
      <c r="S6" s="24">
        <v>0.06</v>
      </c>
      <c r="U6" s="32">
        <v>2007</v>
      </c>
      <c r="V6" s="33" t="s">
        <v>68</v>
      </c>
      <c r="W6" s="33"/>
      <c r="X6" s="33"/>
      <c r="AD6" s="38"/>
      <c r="AE6" s="1">
        <f>V10</f>
        <v>110000.00007963393</v>
      </c>
    </row>
    <row r="7" spans="1:31" ht="13.8" x14ac:dyDescent="0.25">
      <c r="A7" s="4">
        <v>20117</v>
      </c>
      <c r="B7" s="4" t="s">
        <v>9</v>
      </c>
      <c r="C7" s="4" t="s">
        <v>75</v>
      </c>
      <c r="D7" s="5">
        <v>40985</v>
      </c>
      <c r="E7" s="4">
        <v>1</v>
      </c>
      <c r="F7" s="1">
        <v>7</v>
      </c>
      <c r="G7" s="8">
        <v>199206</v>
      </c>
      <c r="H7" s="1" t="str">
        <f>VLOOKUP(E7,'נתוני עזר'!$B$4:$C$7,2,FALSE)</f>
        <v>העברה בנקאית</v>
      </c>
      <c r="I7" s="15">
        <f t="shared" si="0"/>
        <v>15936.48</v>
      </c>
      <c r="J7" s="1">
        <f t="shared" si="1"/>
        <v>15936.48</v>
      </c>
      <c r="K7" s="16">
        <f t="shared" si="2"/>
        <v>54927.386725525204</v>
      </c>
      <c r="L7" s="16">
        <f t="shared" si="4"/>
        <v>54927.386725525204</v>
      </c>
      <c r="M7" s="1" t="str">
        <f t="shared" si="3"/>
        <v>מאי</v>
      </c>
      <c r="N7" s="1">
        <f t="shared" si="5"/>
        <v>2012</v>
      </c>
      <c r="R7" s="17"/>
      <c r="S7" s="17"/>
      <c r="U7" s="32">
        <v>2012</v>
      </c>
      <c r="V7" s="33" t="s">
        <v>68</v>
      </c>
      <c r="W7" s="33"/>
      <c r="X7" s="33"/>
      <c r="AD7" s="1">
        <v>3</v>
      </c>
      <c r="AE7" s="1">
        <f t="dataTable" ref="AE7:AE15" dt2D="0" dtr="0" r1="S31" ca="1"/>
        <v>122341.2</v>
      </c>
    </row>
    <row r="8" spans="1:31" ht="13.8" x14ac:dyDescent="0.25">
      <c r="A8" s="4">
        <v>20130</v>
      </c>
      <c r="B8" s="4" t="s">
        <v>65</v>
      </c>
      <c r="C8" s="4" t="s">
        <v>69</v>
      </c>
      <c r="D8" s="5">
        <v>38916</v>
      </c>
      <c r="E8" s="4">
        <v>5</v>
      </c>
      <c r="F8" s="1">
        <v>5</v>
      </c>
      <c r="G8" s="8">
        <v>174087</v>
      </c>
      <c r="H8" s="1" t="e">
        <f>VLOOKUP(E8,'נתוני עזר'!$B$4:$C$7,2,FALSE)</f>
        <v>#N/A</v>
      </c>
      <c r="I8" s="15">
        <f t="shared" si="0"/>
        <v>12186.090000000002</v>
      </c>
      <c r="J8" s="1">
        <f t="shared" si="1"/>
        <v>12186.090000000002</v>
      </c>
      <c r="K8" s="16">
        <f t="shared" si="2"/>
        <v>48523.038063200314</v>
      </c>
      <c r="L8" s="16">
        <f t="shared" si="4"/>
        <v>48523.038063200314</v>
      </c>
      <c r="M8" s="1" t="str">
        <f t="shared" si="3"/>
        <v>נובמבר</v>
      </c>
      <c r="N8" s="1">
        <f t="shared" si="5"/>
        <v>2006</v>
      </c>
      <c r="P8" s="28"/>
      <c r="R8" s="17">
        <v>2012</v>
      </c>
      <c r="S8" s="24">
        <v>0.08</v>
      </c>
      <c r="U8" s="32"/>
      <c r="V8" s="33"/>
      <c r="W8" s="33"/>
      <c r="X8" s="33"/>
      <c r="AD8" s="1">
        <v>3.1</v>
      </c>
      <c r="AE8" s="1">
        <v>118394.70967741933</v>
      </c>
    </row>
    <row r="9" spans="1:31" ht="13.8" x14ac:dyDescent="0.25">
      <c r="A9" s="4">
        <v>20148</v>
      </c>
      <c r="B9" s="4" t="s">
        <v>2</v>
      </c>
      <c r="C9" s="4" t="s">
        <v>76</v>
      </c>
      <c r="D9" s="5">
        <v>42753</v>
      </c>
      <c r="E9" s="4">
        <v>3</v>
      </c>
      <c r="F9" s="1">
        <v>7</v>
      </c>
      <c r="G9" s="8">
        <v>133032</v>
      </c>
      <c r="H9" s="1" t="str">
        <f>VLOOKUP(E9,'נתוני עזר'!$B$4:$C$7,2,FALSE)</f>
        <v>צ'קים</v>
      </c>
      <c r="I9" s="15">
        <f t="shared" si="0"/>
        <v>9312.2400000000016</v>
      </c>
      <c r="J9" s="1">
        <f t="shared" si="1"/>
        <v>9312.2400000000016</v>
      </c>
      <c r="K9" s="16">
        <f t="shared" si="2"/>
        <v>37079.832495382558</v>
      </c>
      <c r="L9" s="16">
        <f t="shared" si="4"/>
        <v>37079.832495382558</v>
      </c>
      <c r="M9" s="1" t="str">
        <f t="shared" si="3"/>
        <v>יולי</v>
      </c>
      <c r="N9" s="1">
        <f>YEAR(D9)</f>
        <v>2017</v>
      </c>
      <c r="R9" s="17"/>
      <c r="S9" s="17"/>
      <c r="U9" s="32"/>
      <c r="V9" s="33"/>
      <c r="W9" s="33"/>
      <c r="X9" s="33"/>
      <c r="AD9" s="1">
        <v>3.2</v>
      </c>
      <c r="AE9" s="1">
        <v>114694.87499999999</v>
      </c>
    </row>
    <row r="10" spans="1:31" ht="13.8" x14ac:dyDescent="0.25">
      <c r="A10" s="4">
        <v>20119</v>
      </c>
      <c r="B10" s="4" t="s">
        <v>11</v>
      </c>
      <c r="C10" s="4" t="s">
        <v>73</v>
      </c>
      <c r="D10" s="5">
        <v>39352</v>
      </c>
      <c r="E10" s="4">
        <v>4</v>
      </c>
      <c r="F10" s="1">
        <v>4</v>
      </c>
      <c r="G10" s="8">
        <v>138877</v>
      </c>
      <c r="H10" s="1" t="str">
        <f>VLOOKUP(E10,'נתוני עזר'!$B$4:$C$7,2,FALSE)</f>
        <v>מס"ב</v>
      </c>
      <c r="I10" s="15">
        <f t="shared" si="0"/>
        <v>9721.3900000000012</v>
      </c>
      <c r="J10" s="1">
        <f t="shared" si="1"/>
        <v>9721.3900000000012</v>
      </c>
      <c r="K10" s="16">
        <f t="shared" si="2"/>
        <v>38709.001574517744</v>
      </c>
      <c r="L10" s="16">
        <f t="shared" si="4"/>
        <v>38709.001574517744</v>
      </c>
      <c r="M10" s="1" t="str">
        <f t="shared" si="3"/>
        <v>דצמבר</v>
      </c>
      <c r="N10" s="1">
        <f t="shared" si="5"/>
        <v>2007</v>
      </c>
      <c r="R10" s="17">
        <v>2014</v>
      </c>
      <c r="S10" s="24">
        <v>0.09</v>
      </c>
      <c r="U10" s="32"/>
      <c r="V10" s="35">
        <f>DSUM(A1:N65,L1,$U$5:$V$7)</f>
        <v>110000.00007963393</v>
      </c>
      <c r="W10" s="35"/>
      <c r="X10" s="33"/>
      <c r="Y10" s="32"/>
      <c r="AD10" s="1">
        <v>3.3</v>
      </c>
      <c r="AE10" s="1">
        <v>111219.27272727274</v>
      </c>
    </row>
    <row r="11" spans="1:31" ht="28.2" x14ac:dyDescent="0.5">
      <c r="A11" s="4">
        <v>20153</v>
      </c>
      <c r="B11" s="4" t="s">
        <v>7</v>
      </c>
      <c r="C11" s="4" t="s">
        <v>74</v>
      </c>
      <c r="D11" s="5">
        <v>39411</v>
      </c>
      <c r="E11" s="4">
        <v>2</v>
      </c>
      <c r="F11" s="1">
        <v>1</v>
      </c>
      <c r="G11" s="8">
        <v>178982</v>
      </c>
      <c r="H11" s="1" t="str">
        <f>VLOOKUP(E11,'נתוני עזר'!$B$4:$C$7,2,FALSE)</f>
        <v>מזומן</v>
      </c>
      <c r="I11" s="15">
        <f t="shared" si="0"/>
        <v>12528.740000000002</v>
      </c>
      <c r="J11" s="1">
        <f t="shared" si="1"/>
        <v>12528.740000000002</v>
      </c>
      <c r="K11" s="16">
        <f t="shared" si="2"/>
        <v>49887.414905350306</v>
      </c>
      <c r="L11" s="16">
        <f t="shared" si="4"/>
        <v>49887.414905350306</v>
      </c>
      <c r="M11" s="1" t="str">
        <f t="shared" si="3"/>
        <v>יולי</v>
      </c>
      <c r="N11" s="1">
        <f t="shared" si="5"/>
        <v>2007</v>
      </c>
      <c r="R11" s="17"/>
      <c r="S11" s="17"/>
      <c r="U11" s="32"/>
      <c r="V11" s="39" t="s">
        <v>121</v>
      </c>
      <c r="W11" s="40"/>
      <c r="X11" s="33"/>
      <c r="AD11" s="1">
        <v>3.4</v>
      </c>
      <c r="AE11" s="1">
        <v>107948.11764705883</v>
      </c>
    </row>
    <row r="12" spans="1:31" ht="13.8" x14ac:dyDescent="0.25">
      <c r="A12" s="4">
        <v>20139</v>
      </c>
      <c r="B12" s="4" t="s">
        <v>5</v>
      </c>
      <c r="C12" s="4" t="s">
        <v>70</v>
      </c>
      <c r="D12" s="5">
        <v>40146</v>
      </c>
      <c r="E12" s="4">
        <v>2</v>
      </c>
      <c r="F12" s="1">
        <v>2</v>
      </c>
      <c r="G12" s="8">
        <v>102615</v>
      </c>
      <c r="H12" s="1" t="str">
        <f>VLOOKUP(E12,'נתוני עזר'!$B$4:$C$7,2,FALSE)</f>
        <v>מזומן</v>
      </c>
      <c r="I12" s="15">
        <f t="shared" si="0"/>
        <v>6156.9</v>
      </c>
      <c r="J12" s="1">
        <f t="shared" si="1"/>
        <v>6156.9</v>
      </c>
      <c r="K12" s="16">
        <f t="shared" si="2"/>
        <v>28909.288143000445</v>
      </c>
      <c r="L12" s="16">
        <f t="shared" si="4"/>
        <v>28909.288143000445</v>
      </c>
      <c r="M12" s="1" t="str">
        <f t="shared" si="3"/>
        <v>פברואר</v>
      </c>
      <c r="N12" s="1">
        <f t="shared" si="5"/>
        <v>2009</v>
      </c>
      <c r="R12" s="17">
        <v>2016</v>
      </c>
      <c r="S12" s="24">
        <v>0.04</v>
      </c>
      <c r="U12" s="32"/>
      <c r="V12" s="33"/>
      <c r="W12" s="33"/>
      <c r="X12" s="33"/>
      <c r="AD12" s="1">
        <v>3.5</v>
      </c>
      <c r="AE12" s="1">
        <v>104863.88571428572</v>
      </c>
    </row>
    <row r="13" spans="1:31" ht="13.8" x14ac:dyDescent="0.25">
      <c r="A13" s="4">
        <v>20131</v>
      </c>
      <c r="B13" s="4" t="s">
        <v>31</v>
      </c>
      <c r="C13" s="4" t="s">
        <v>75</v>
      </c>
      <c r="D13" s="5">
        <v>39878</v>
      </c>
      <c r="E13" s="4">
        <v>2</v>
      </c>
      <c r="F13" s="1">
        <v>3</v>
      </c>
      <c r="G13" s="8">
        <v>58896</v>
      </c>
      <c r="H13" s="1" t="str">
        <f>VLOOKUP(E13,'נתוני עזר'!$B$4:$C$7,2,FALSE)</f>
        <v>מזומן</v>
      </c>
      <c r="I13" s="15">
        <f t="shared" si="0"/>
        <v>3533.7599999999998</v>
      </c>
      <c r="J13" s="1">
        <f t="shared" si="1"/>
        <v>3533.7599999999998</v>
      </c>
      <c r="K13" s="16">
        <f t="shared" si="2"/>
        <v>16592.519948059777</v>
      </c>
      <c r="L13" s="16">
        <f t="shared" si="4"/>
        <v>16592.519948059777</v>
      </c>
      <c r="M13" s="1" t="str">
        <f t="shared" si="3"/>
        <v>יוני</v>
      </c>
      <c r="N13" s="1">
        <f t="shared" si="5"/>
        <v>2009</v>
      </c>
      <c r="R13" s="17"/>
      <c r="S13" s="17"/>
      <c r="AD13" s="1">
        <v>3.6</v>
      </c>
      <c r="AE13" s="1">
        <v>101951</v>
      </c>
    </row>
    <row r="14" spans="1:31" ht="13.8" x14ac:dyDescent="0.25">
      <c r="A14" s="4">
        <v>20100</v>
      </c>
      <c r="B14" s="4" t="s">
        <v>12</v>
      </c>
      <c r="C14" s="4" t="s">
        <v>68</v>
      </c>
      <c r="D14" s="5">
        <v>40943</v>
      </c>
      <c r="E14" s="4">
        <v>4</v>
      </c>
      <c r="F14" s="1">
        <v>8</v>
      </c>
      <c r="G14" s="8">
        <v>115845</v>
      </c>
      <c r="H14" s="1" t="str">
        <f>VLOOKUP(E14,'נתוני עזר'!$B$4:$C$7,2,FALSE)</f>
        <v>מס"ב</v>
      </c>
      <c r="I14" s="15">
        <f t="shared" si="0"/>
        <v>9267.6</v>
      </c>
      <c r="J14" s="1">
        <f t="shared" si="1"/>
        <v>9267.6</v>
      </c>
      <c r="K14" s="16">
        <f t="shared" si="2"/>
        <v>31942.125815580188</v>
      </c>
      <c r="L14" s="16">
        <f t="shared" si="4"/>
        <v>31942.125815580188</v>
      </c>
      <c r="M14" s="1" t="str">
        <f t="shared" si="3"/>
        <v>יוני</v>
      </c>
      <c r="N14" s="1">
        <f t="shared" si="5"/>
        <v>2012</v>
      </c>
      <c r="O14" s="19" t="s">
        <v>118</v>
      </c>
      <c r="P14" s="19" t="s">
        <v>106</v>
      </c>
      <c r="R14" s="17">
        <v>2018</v>
      </c>
      <c r="S14" s="24">
        <v>7.0000000000000007E-2</v>
      </c>
      <c r="AD14" s="1">
        <v>3.7</v>
      </c>
      <c r="AE14" s="1">
        <v>99195.567567567559</v>
      </c>
    </row>
    <row r="15" spans="1:31" ht="13.8" x14ac:dyDescent="0.25">
      <c r="A15" s="4">
        <v>20101</v>
      </c>
      <c r="B15" s="4" t="s">
        <v>21</v>
      </c>
      <c r="C15" s="4" t="s">
        <v>71</v>
      </c>
      <c r="D15" s="5">
        <v>42109</v>
      </c>
      <c r="E15" s="4">
        <v>1</v>
      </c>
      <c r="F15" s="1">
        <v>3</v>
      </c>
      <c r="G15" s="8">
        <v>92458</v>
      </c>
      <c r="H15" s="1" t="str">
        <f>VLOOKUP(E15,'נתוני עזר'!$B$4:$C$7,2,FALSE)</f>
        <v>העברה בנקאית</v>
      </c>
      <c r="I15" s="15">
        <f t="shared" si="0"/>
        <v>3698.32</v>
      </c>
      <c r="J15" s="1">
        <f t="shared" si="1"/>
        <v>3698.32</v>
      </c>
      <c r="K15" s="16">
        <f t="shared" si="2"/>
        <v>26602.008173502418</v>
      </c>
      <c r="L15" s="16">
        <f t="shared" si="4"/>
        <v>26602.008173502418</v>
      </c>
      <c r="M15" s="1" t="str">
        <f t="shared" si="3"/>
        <v>אוקטובר</v>
      </c>
      <c r="N15" s="1">
        <f t="shared" si="5"/>
        <v>2015</v>
      </c>
      <c r="R15" s="17"/>
      <c r="S15" s="17"/>
      <c r="U15" s="19" t="s">
        <v>114</v>
      </c>
      <c r="V15" s="19" t="s">
        <v>103</v>
      </c>
      <c r="AD15" s="1">
        <v>3.8</v>
      </c>
      <c r="AE15" s="1">
        <v>96585.157894736854</v>
      </c>
    </row>
    <row r="16" spans="1:31" ht="27.6" x14ac:dyDescent="0.25">
      <c r="A16" s="4">
        <v>20102</v>
      </c>
      <c r="B16" s="4" t="s">
        <v>13</v>
      </c>
      <c r="C16" s="4" t="s">
        <v>75</v>
      </c>
      <c r="D16" s="5">
        <v>40302</v>
      </c>
      <c r="E16" s="4">
        <v>4</v>
      </c>
      <c r="F16" s="1">
        <v>1</v>
      </c>
      <c r="G16" s="8">
        <v>143215</v>
      </c>
      <c r="H16" s="1" t="str">
        <f>VLOOKUP(E16,'נתוני עזר'!$B$4:$C$7,2,FALSE)</f>
        <v>מס"ב</v>
      </c>
      <c r="I16" s="15">
        <f t="shared" si="0"/>
        <v>8592.9</v>
      </c>
      <c r="J16" s="1">
        <f t="shared" si="1"/>
        <v>8592.9</v>
      </c>
      <c r="K16" s="16">
        <f t="shared" si="2"/>
        <v>40347.353714367382</v>
      </c>
      <c r="L16" s="16">
        <f t="shared" si="4"/>
        <v>40347.353714367382</v>
      </c>
      <c r="M16" s="1" t="str">
        <f t="shared" si="3"/>
        <v>יוני</v>
      </c>
      <c r="N16" s="1">
        <f t="shared" si="5"/>
        <v>2010</v>
      </c>
      <c r="O16" s="6" t="s">
        <v>86</v>
      </c>
      <c r="P16" s="6" t="s">
        <v>94</v>
      </c>
      <c r="R16" s="17"/>
      <c r="S16" s="17"/>
      <c r="U16" s="21"/>
      <c r="V16" s="21" t="s">
        <v>113</v>
      </c>
    </row>
    <row r="17" spans="1:25" ht="13.8" x14ac:dyDescent="0.25">
      <c r="A17" s="4">
        <v>20126</v>
      </c>
      <c r="B17" s="4" t="s">
        <v>1</v>
      </c>
      <c r="C17" s="4" t="s">
        <v>76</v>
      </c>
      <c r="D17" s="5">
        <v>41212</v>
      </c>
      <c r="E17" s="4">
        <v>4</v>
      </c>
      <c r="F17" s="1">
        <v>4</v>
      </c>
      <c r="G17" s="8">
        <v>78785</v>
      </c>
      <c r="H17" s="1" t="str">
        <f>VLOOKUP(E17,'נתוני עזר'!$B$4:$C$7,2,FALSE)</f>
        <v>מס"ב</v>
      </c>
      <c r="I17" s="15">
        <f t="shared" si="0"/>
        <v>6302.8</v>
      </c>
      <c r="J17" s="1">
        <f t="shared" si="1"/>
        <v>6302.8</v>
      </c>
      <c r="K17" s="16">
        <f t="shared" si="2"/>
        <v>21723.513163110063</v>
      </c>
      <c r="L17" s="16">
        <f t="shared" si="4"/>
        <v>21723.513163110063</v>
      </c>
      <c r="M17" s="1" t="str">
        <f t="shared" si="3"/>
        <v>יוני</v>
      </c>
      <c r="N17" s="1">
        <f t="shared" si="5"/>
        <v>2012</v>
      </c>
      <c r="O17" s="1" t="s">
        <v>68</v>
      </c>
      <c r="P17" s="1" t="s">
        <v>64</v>
      </c>
      <c r="R17" s="17"/>
      <c r="S17" s="17"/>
    </row>
    <row r="18" spans="1:25" ht="13.8" x14ac:dyDescent="0.25">
      <c r="A18" s="4">
        <v>20154</v>
      </c>
      <c r="B18" s="4" t="s">
        <v>18</v>
      </c>
      <c r="C18" s="4" t="s">
        <v>73</v>
      </c>
      <c r="D18" s="5">
        <v>41053</v>
      </c>
      <c r="E18" s="4">
        <v>3</v>
      </c>
      <c r="F18" s="1">
        <v>2</v>
      </c>
      <c r="G18" s="8">
        <v>134373</v>
      </c>
      <c r="H18" s="1" t="str">
        <f>VLOOKUP(E18,'נתוני עזר'!$B$4:$C$7,2,FALSE)</f>
        <v>צ'קים</v>
      </c>
      <c r="I18" s="15">
        <f t="shared" si="0"/>
        <v>10749.84</v>
      </c>
      <c r="J18" s="1">
        <f t="shared" si="1"/>
        <v>10749.84</v>
      </c>
      <c r="K18" s="16">
        <f t="shared" si="2"/>
        <v>37050.880678639194</v>
      </c>
      <c r="L18" s="16">
        <f t="shared" si="4"/>
        <v>37050.880678639194</v>
      </c>
      <c r="M18" s="1" t="str">
        <f t="shared" si="3"/>
        <v>יוני</v>
      </c>
      <c r="N18" s="1">
        <f t="shared" si="5"/>
        <v>2012</v>
      </c>
      <c r="O18" s="1" t="s">
        <v>70</v>
      </c>
      <c r="P18" s="1" t="s">
        <v>64</v>
      </c>
      <c r="R18" s="17"/>
      <c r="S18" s="17"/>
    </row>
    <row r="19" spans="1:25" ht="13.8" x14ac:dyDescent="0.25">
      <c r="A19" s="4">
        <v>20128</v>
      </c>
      <c r="B19" s="4" t="s">
        <v>28</v>
      </c>
      <c r="C19" s="4" t="s">
        <v>68</v>
      </c>
      <c r="D19" s="5">
        <v>42769</v>
      </c>
      <c r="E19" s="4">
        <v>3</v>
      </c>
      <c r="F19" s="1">
        <v>5</v>
      </c>
      <c r="G19" s="8">
        <v>126383</v>
      </c>
      <c r="H19" s="1" t="str">
        <f>VLOOKUP(E19,'נתוני עזר'!$B$4:$C$7,2,FALSE)</f>
        <v>צ'קים</v>
      </c>
      <c r="I19" s="15">
        <f t="shared" si="0"/>
        <v>8846.8100000000013</v>
      </c>
      <c r="J19" s="1">
        <f t="shared" si="1"/>
        <v>8846.8100000000013</v>
      </c>
      <c r="K19" s="16">
        <f t="shared" si="2"/>
        <v>35226.565565156765</v>
      </c>
      <c r="L19" s="16">
        <f t="shared" si="4"/>
        <v>35226.565565156765</v>
      </c>
      <c r="M19" s="1" t="str">
        <f t="shared" si="3"/>
        <v>יוני</v>
      </c>
      <c r="N19" s="1">
        <f t="shared" si="5"/>
        <v>2017</v>
      </c>
      <c r="R19" s="17" t="s">
        <v>96</v>
      </c>
      <c r="S19" s="17" t="s">
        <v>97</v>
      </c>
      <c r="U19" s="19" t="s">
        <v>117</v>
      </c>
      <c r="V19" s="19" t="s">
        <v>106</v>
      </c>
    </row>
    <row r="20" spans="1:25" ht="13.8" x14ac:dyDescent="0.25">
      <c r="A20" s="4">
        <v>20120</v>
      </c>
      <c r="B20" s="4" t="s">
        <v>20</v>
      </c>
      <c r="C20" s="4" t="s">
        <v>68</v>
      </c>
      <c r="D20" s="5">
        <v>41949</v>
      </c>
      <c r="E20" s="4">
        <v>2</v>
      </c>
      <c r="F20" s="1">
        <v>5</v>
      </c>
      <c r="G20" s="8">
        <v>89915</v>
      </c>
      <c r="H20" s="1" t="str">
        <f>VLOOKUP(E20,'נתוני עזר'!$B$4:$C$7,2,FALSE)</f>
        <v>מזומן</v>
      </c>
      <c r="I20" s="15">
        <f t="shared" si="0"/>
        <v>8092.3499999999995</v>
      </c>
      <c r="J20" s="1">
        <f t="shared" si="1"/>
        <v>8092.3499999999995</v>
      </c>
      <c r="K20" s="16">
        <f t="shared" si="2"/>
        <v>24522.923066843272</v>
      </c>
      <c r="L20" s="16">
        <f t="shared" si="4"/>
        <v>24522.923066843272</v>
      </c>
      <c r="M20" s="1" t="str">
        <f t="shared" si="3"/>
        <v>פברואר</v>
      </c>
      <c r="N20" s="1">
        <f t="shared" si="5"/>
        <v>2014</v>
      </c>
      <c r="R20" s="17">
        <v>0</v>
      </c>
      <c r="S20" s="25">
        <v>7.0000000000000007E-2</v>
      </c>
      <c r="V20" s="27" t="s">
        <v>87</v>
      </c>
      <c r="W20" s="21"/>
      <c r="X20" s="21" t="s">
        <v>89</v>
      </c>
    </row>
    <row r="21" spans="1:25" ht="13.8" x14ac:dyDescent="0.25">
      <c r="A21" s="4">
        <v>20149</v>
      </c>
      <c r="B21" s="4" t="s">
        <v>23</v>
      </c>
      <c r="C21" s="4" t="s">
        <v>77</v>
      </c>
      <c r="D21" s="5">
        <v>40200</v>
      </c>
      <c r="E21" s="4">
        <v>4</v>
      </c>
      <c r="F21" s="1">
        <v>3</v>
      </c>
      <c r="G21" s="8">
        <v>55426</v>
      </c>
      <c r="H21" s="1" t="str">
        <f>VLOOKUP(E21,'נתוני עזר'!$B$4:$C$7,2,FALSE)</f>
        <v>מס"ב</v>
      </c>
      <c r="I21" s="15">
        <f t="shared" si="0"/>
        <v>3325.56</v>
      </c>
      <c r="J21" s="1">
        <f t="shared" si="1"/>
        <v>3325.56</v>
      </c>
      <c r="K21" s="16">
        <f t="shared" si="2"/>
        <v>15614.931585186792</v>
      </c>
      <c r="L21" s="16">
        <f t="shared" si="4"/>
        <v>15614.931585186792</v>
      </c>
      <c r="M21" s="1" t="str">
        <f t="shared" si="3"/>
        <v>ספטמבר</v>
      </c>
      <c r="N21" s="1">
        <f t="shared" si="5"/>
        <v>2010</v>
      </c>
      <c r="R21" s="17">
        <v>2009</v>
      </c>
      <c r="S21" s="25">
        <v>0.06</v>
      </c>
      <c r="V21" s="17" t="s">
        <v>116</v>
      </c>
      <c r="W21" s="17" t="b">
        <f>OR(YEAR(D2)=$W$24,YEAR(D2)=$W$25)</f>
        <v>0</v>
      </c>
      <c r="X21" s="17">
        <v>4</v>
      </c>
    </row>
    <row r="22" spans="1:25" ht="13.8" x14ac:dyDescent="0.25">
      <c r="A22" s="4">
        <v>20112</v>
      </c>
      <c r="B22" s="4" t="s">
        <v>30</v>
      </c>
      <c r="C22" s="4" t="s">
        <v>72</v>
      </c>
      <c r="D22" s="5">
        <v>39997</v>
      </c>
      <c r="E22" s="4">
        <v>1</v>
      </c>
      <c r="F22" s="1">
        <v>10</v>
      </c>
      <c r="G22" s="8">
        <v>146318</v>
      </c>
      <c r="H22" s="1" t="str">
        <f>VLOOKUP(E22,'נתוני עזר'!$B$4:$C$7,2,FALSE)</f>
        <v>העברה בנקאית</v>
      </c>
      <c r="I22" s="15">
        <f t="shared" si="0"/>
        <v>8779.08</v>
      </c>
      <c r="J22" s="1">
        <f t="shared" si="1"/>
        <v>8779.08</v>
      </c>
      <c r="K22" s="16">
        <f t="shared" si="2"/>
        <v>41221.548725893284</v>
      </c>
      <c r="L22" s="16">
        <f t="shared" si="4"/>
        <v>41221.548725893284</v>
      </c>
      <c r="M22" s="1" t="str">
        <f t="shared" si="3"/>
        <v>נובמבר</v>
      </c>
      <c r="N22" s="1">
        <f t="shared" si="5"/>
        <v>2009</v>
      </c>
      <c r="R22" s="17">
        <v>2011</v>
      </c>
      <c r="S22" s="25">
        <v>0.08</v>
      </c>
    </row>
    <row r="23" spans="1:25" ht="13.8" x14ac:dyDescent="0.25">
      <c r="A23" s="4">
        <v>20113</v>
      </c>
      <c r="B23" s="4" t="s">
        <v>25</v>
      </c>
      <c r="C23" s="4" t="s">
        <v>73</v>
      </c>
      <c r="D23" s="5">
        <v>40360</v>
      </c>
      <c r="E23" s="4">
        <v>4</v>
      </c>
      <c r="F23" s="1">
        <v>5</v>
      </c>
      <c r="G23" s="8">
        <v>89582</v>
      </c>
      <c r="H23" s="1" t="str">
        <f>VLOOKUP(E23,'נתוני עזר'!$B$4:$C$7,2,FALSE)</f>
        <v>מס"ב</v>
      </c>
      <c r="I23" s="15">
        <f t="shared" si="0"/>
        <v>5374.92</v>
      </c>
      <c r="J23" s="1">
        <f t="shared" si="1"/>
        <v>5374.92</v>
      </c>
      <c r="K23" s="16">
        <f t="shared" si="2"/>
        <v>25237.556404290463</v>
      </c>
      <c r="L23" s="16">
        <f t="shared" si="4"/>
        <v>25237.556404290463</v>
      </c>
      <c r="M23" s="1" t="str">
        <f t="shared" si="3"/>
        <v>פברואר</v>
      </c>
      <c r="N23" s="1">
        <f t="shared" si="5"/>
        <v>2010</v>
      </c>
      <c r="R23" s="17">
        <v>2013</v>
      </c>
      <c r="S23" s="25">
        <v>0.09</v>
      </c>
      <c r="X23" s="19" t="s">
        <v>110</v>
      </c>
      <c r="Y23" s="19">
        <f>DCOUNT(A1:M65,A1,V20:X21)</f>
        <v>6</v>
      </c>
    </row>
    <row r="24" spans="1:25" ht="13.8" x14ac:dyDescent="0.25">
      <c r="A24" s="4">
        <v>20140</v>
      </c>
      <c r="B24" s="4" t="s">
        <v>16</v>
      </c>
      <c r="C24" s="4" t="s">
        <v>71</v>
      </c>
      <c r="D24" s="5">
        <v>41293</v>
      </c>
      <c r="E24" s="4">
        <v>4</v>
      </c>
      <c r="F24" s="1">
        <v>6</v>
      </c>
      <c r="G24" s="8">
        <v>76295</v>
      </c>
      <c r="H24" s="1" t="str">
        <f>VLOOKUP(E24,'נתוני עזר'!$B$4:$C$7,2,FALSE)</f>
        <v>מס"ב</v>
      </c>
      <c r="I24" s="15">
        <f t="shared" si="0"/>
        <v>6866.55</v>
      </c>
      <c r="J24" s="1">
        <f t="shared" si="1"/>
        <v>6866.55</v>
      </c>
      <c r="K24" s="16">
        <f t="shared" si="2"/>
        <v>20808.279101204556</v>
      </c>
      <c r="L24" s="16">
        <f t="shared" si="4"/>
        <v>20808.279101204556</v>
      </c>
      <c r="M24" s="1" t="str">
        <f t="shared" si="3"/>
        <v>דצמבר</v>
      </c>
      <c r="N24" s="1">
        <f t="shared" si="5"/>
        <v>2013</v>
      </c>
      <c r="R24" s="17">
        <v>2015</v>
      </c>
      <c r="S24" s="25">
        <v>0.04</v>
      </c>
      <c r="W24" s="1">
        <v>2010</v>
      </c>
    </row>
    <row r="25" spans="1:25" ht="13.8" x14ac:dyDescent="0.25">
      <c r="A25" s="4">
        <v>20121</v>
      </c>
      <c r="B25" s="4" t="s">
        <v>6</v>
      </c>
      <c r="C25" s="4" t="s">
        <v>70</v>
      </c>
      <c r="D25" s="5">
        <v>39248</v>
      </c>
      <c r="E25" s="4">
        <v>1</v>
      </c>
      <c r="F25" s="1">
        <v>10</v>
      </c>
      <c r="G25" s="8">
        <v>71037</v>
      </c>
      <c r="H25" s="1" t="str">
        <f>VLOOKUP(E25,'נתוני עזר'!$B$4:$C$7,2,FALSE)</f>
        <v>העברה בנקאית</v>
      </c>
      <c r="I25" s="15">
        <f t="shared" si="0"/>
        <v>4972.59</v>
      </c>
      <c r="J25" s="1">
        <f t="shared" si="1"/>
        <v>4972.59</v>
      </c>
      <c r="K25" s="16">
        <f t="shared" si="2"/>
        <v>19800.048567070262</v>
      </c>
      <c r="L25" s="16">
        <f t="shared" si="4"/>
        <v>19800.048567070262</v>
      </c>
      <c r="M25" s="1" t="str">
        <f t="shared" si="3"/>
        <v>מרץ</v>
      </c>
      <c r="N25" s="1">
        <f t="shared" si="5"/>
        <v>2007</v>
      </c>
      <c r="R25" s="17">
        <v>2017</v>
      </c>
      <c r="S25" s="25">
        <v>7.0000000000000007E-2</v>
      </c>
      <c r="W25" s="1">
        <v>2012</v>
      </c>
    </row>
    <row r="26" spans="1:25" ht="13.8" x14ac:dyDescent="0.25">
      <c r="A26" s="4">
        <v>20155</v>
      </c>
      <c r="B26" s="4" t="s">
        <v>10</v>
      </c>
      <c r="C26" s="4" t="s">
        <v>76</v>
      </c>
      <c r="D26" s="5">
        <v>41402</v>
      </c>
      <c r="E26" s="4">
        <v>4</v>
      </c>
      <c r="F26" s="1">
        <v>2</v>
      </c>
      <c r="G26" s="8">
        <v>100268</v>
      </c>
      <c r="H26" s="1" t="str">
        <f>VLOOKUP(E26,'נתוני עזר'!$B$4:$C$7,2,FALSE)</f>
        <v>מס"ב</v>
      </c>
      <c r="I26" s="15">
        <f t="shared" si="0"/>
        <v>9024.119999999999</v>
      </c>
      <c r="J26" s="1">
        <f t="shared" si="1"/>
        <v>9024.119999999999</v>
      </c>
      <c r="K26" s="16">
        <f t="shared" si="2"/>
        <v>27346.543402838699</v>
      </c>
      <c r="L26" s="16">
        <f t="shared" si="4"/>
        <v>27346.543402838699</v>
      </c>
      <c r="M26" s="1" t="str">
        <f t="shared" si="3"/>
        <v>נובמבר</v>
      </c>
      <c r="N26" s="1">
        <f t="shared" si="5"/>
        <v>2013</v>
      </c>
      <c r="O26" s="19" t="s">
        <v>118</v>
      </c>
      <c r="P26" s="19" t="s">
        <v>103</v>
      </c>
      <c r="R26" s="17">
        <v>2019</v>
      </c>
      <c r="S26" s="25"/>
    </row>
    <row r="27" spans="1:25" ht="13.8" x14ac:dyDescent="0.25">
      <c r="A27" s="4">
        <v>20141</v>
      </c>
      <c r="B27" s="4" t="s">
        <v>27</v>
      </c>
      <c r="C27" s="4" t="s">
        <v>76</v>
      </c>
      <c r="D27" s="5">
        <v>42837</v>
      </c>
      <c r="E27" s="4">
        <v>3</v>
      </c>
      <c r="F27" s="1">
        <v>8</v>
      </c>
      <c r="G27" s="8">
        <v>174120</v>
      </c>
      <c r="H27" s="1" t="str">
        <f>VLOOKUP(E27,'נתוני עזר'!$B$4:$C$7,2,FALSE)</f>
        <v>צ'קים</v>
      </c>
      <c r="I27" s="15">
        <f t="shared" si="0"/>
        <v>12188.400000000001</v>
      </c>
      <c r="J27" s="1">
        <f t="shared" si="1"/>
        <v>12188.400000000001</v>
      </c>
      <c r="K27" s="16">
        <f t="shared" si="2"/>
        <v>48532.236109327168</v>
      </c>
      <c r="L27" s="16">
        <f t="shared" si="4"/>
        <v>48532.236109327168</v>
      </c>
      <c r="M27" s="1" t="str">
        <f t="shared" si="3"/>
        <v>נובמבר</v>
      </c>
      <c r="N27" s="1">
        <f t="shared" si="5"/>
        <v>2017</v>
      </c>
      <c r="O27" s="21" t="s">
        <v>86</v>
      </c>
      <c r="P27" s="21" t="s">
        <v>119</v>
      </c>
      <c r="U27" s="19" t="s">
        <v>117</v>
      </c>
      <c r="V27" s="19" t="s">
        <v>103</v>
      </c>
      <c r="W27" s="17"/>
      <c r="X27" s="17"/>
    </row>
    <row r="28" spans="1:25" ht="13.8" x14ac:dyDescent="0.25">
      <c r="A28" s="4">
        <v>20124</v>
      </c>
      <c r="B28" s="4" t="s">
        <v>26</v>
      </c>
      <c r="C28" s="4" t="s">
        <v>74</v>
      </c>
      <c r="D28" s="5">
        <v>39693</v>
      </c>
      <c r="E28" s="4">
        <v>2</v>
      </c>
      <c r="F28" s="1">
        <v>9</v>
      </c>
      <c r="G28" s="8">
        <v>151094</v>
      </c>
      <c r="H28" s="1" t="str">
        <f>VLOOKUP(E28,'נתוני עזר'!$B$4:$C$7,2,FALSE)</f>
        <v>מזומן</v>
      </c>
      <c r="I28" s="15">
        <f t="shared" si="0"/>
        <v>10576.580000000002</v>
      </c>
      <c r="J28" s="1">
        <f t="shared" si="1"/>
        <v>10576.580000000002</v>
      </c>
      <c r="K28" s="16">
        <f t="shared" si="2"/>
        <v>42114.229742147247</v>
      </c>
      <c r="L28" s="16">
        <f t="shared" si="4"/>
        <v>42114.229742147247</v>
      </c>
      <c r="M28" s="1" t="str">
        <f t="shared" si="3"/>
        <v>אפריל</v>
      </c>
      <c r="N28" s="1">
        <f t="shared" si="5"/>
        <v>2008</v>
      </c>
      <c r="O28" s="31" t="s">
        <v>74</v>
      </c>
      <c r="P28" s="18">
        <f>AVERAGEIF($C$2:$C$65,O28,$G$2:$G$65)</f>
        <v>128918.25</v>
      </c>
      <c r="U28" s="17"/>
      <c r="V28" s="17" t="s">
        <v>74</v>
      </c>
      <c r="W28" s="17"/>
      <c r="X28" s="17"/>
    </row>
    <row r="29" spans="1:25" ht="13.8" x14ac:dyDescent="0.25">
      <c r="A29" s="4">
        <v>20105</v>
      </c>
      <c r="B29" s="4" t="s">
        <v>66</v>
      </c>
      <c r="C29" s="4" t="s">
        <v>79</v>
      </c>
      <c r="D29" s="5">
        <v>42145</v>
      </c>
      <c r="E29" s="4">
        <v>3</v>
      </c>
      <c r="F29" s="1">
        <v>9</v>
      </c>
      <c r="G29" s="8">
        <v>80471</v>
      </c>
      <c r="H29" s="1" t="str">
        <f>VLOOKUP(E29,'נתוני עזר'!$B$4:$C$7,2,FALSE)</f>
        <v>צ'קים</v>
      </c>
      <c r="I29" s="15">
        <f t="shared" si="0"/>
        <v>3218.84</v>
      </c>
      <c r="J29" s="1">
        <f t="shared" si="1"/>
        <v>3218.84</v>
      </c>
      <c r="K29" s="16">
        <f t="shared" si="2"/>
        <v>23153.109517077086</v>
      </c>
      <c r="L29" s="16">
        <f t="shared" si="4"/>
        <v>23153.109517077086</v>
      </c>
      <c r="M29" s="1" t="str">
        <f t="shared" si="3"/>
        <v>מאי</v>
      </c>
      <c r="N29" s="1">
        <f t="shared" si="5"/>
        <v>2015</v>
      </c>
      <c r="O29" s="31" t="s">
        <v>75</v>
      </c>
      <c r="P29" s="18">
        <f t="shared" ref="P29:P40" si="6">AVERAGEIF($C$2:$C$65,O29,$G$2:$G$65)</f>
        <v>140439.33333333334</v>
      </c>
      <c r="R29" s="19" t="s">
        <v>105</v>
      </c>
      <c r="S29" s="19" t="s">
        <v>106</v>
      </c>
      <c r="U29" s="17"/>
      <c r="V29" s="17">
        <v>4</v>
      </c>
      <c r="W29" s="17"/>
      <c r="X29" s="17"/>
    </row>
    <row r="30" spans="1:25" ht="13.8" x14ac:dyDescent="0.25">
      <c r="A30" s="4">
        <v>20142</v>
      </c>
      <c r="B30" s="4" t="s">
        <v>45</v>
      </c>
      <c r="C30" s="4" t="s">
        <v>78</v>
      </c>
      <c r="D30" s="5">
        <v>41870</v>
      </c>
      <c r="E30" s="4">
        <v>5</v>
      </c>
      <c r="F30" s="1">
        <v>10</v>
      </c>
      <c r="G30" s="8">
        <v>192182</v>
      </c>
      <c r="H30" s="1" t="e">
        <f>VLOOKUP(E30,'נתוני עזר'!$B$4:$C$7,2,FALSE)</f>
        <v>#N/A</v>
      </c>
      <c r="I30" s="15">
        <f t="shared" si="0"/>
        <v>17296.38</v>
      </c>
      <c r="J30" s="1">
        <f t="shared" si="1"/>
        <v>17296.38</v>
      </c>
      <c r="K30" s="16">
        <f t="shared" si="2"/>
        <v>52414.662746283422</v>
      </c>
      <c r="L30" s="16">
        <f t="shared" si="4"/>
        <v>52414.662746283422</v>
      </c>
      <c r="M30" s="1" t="str">
        <f t="shared" si="3"/>
        <v>יולי</v>
      </c>
      <c r="N30" s="1">
        <f t="shared" si="5"/>
        <v>2014</v>
      </c>
      <c r="O30" s="31" t="s">
        <v>77</v>
      </c>
      <c r="P30" s="18">
        <f t="shared" si="6"/>
        <v>111539.75</v>
      </c>
      <c r="S30" s="1" t="s">
        <v>99</v>
      </c>
      <c r="U30" s="17"/>
      <c r="V30" s="17">
        <v>5</v>
      </c>
      <c r="W30" s="17"/>
      <c r="X30" s="17"/>
    </row>
    <row r="31" spans="1:25" ht="13.8" x14ac:dyDescent="0.25">
      <c r="A31" s="4">
        <v>20115</v>
      </c>
      <c r="B31" s="4" t="s">
        <v>8</v>
      </c>
      <c r="C31" s="4" t="s">
        <v>68</v>
      </c>
      <c r="D31" s="5">
        <v>41844</v>
      </c>
      <c r="E31" s="4">
        <v>1</v>
      </c>
      <c r="F31" s="1">
        <v>2</v>
      </c>
      <c r="G31" s="8">
        <v>163171</v>
      </c>
      <c r="H31" s="1" t="str">
        <f>VLOOKUP(E31,'נתוני עזר'!$B$4:$C$7,2,FALSE)</f>
        <v>העברה בנקאית</v>
      </c>
      <c r="I31" s="15">
        <f t="shared" si="0"/>
        <v>14685.39</v>
      </c>
      <c r="J31" s="1">
        <f t="shared" si="1"/>
        <v>14685.39</v>
      </c>
      <c r="K31" s="16">
        <f t="shared" si="2"/>
        <v>44502.36200567073</v>
      </c>
      <c r="L31" s="16">
        <f t="shared" si="4"/>
        <v>44502.36200567073</v>
      </c>
      <c r="M31" s="1" t="str">
        <f t="shared" si="3"/>
        <v>נובמבר</v>
      </c>
      <c r="N31" s="1">
        <f t="shared" si="5"/>
        <v>2014</v>
      </c>
      <c r="O31" s="31" t="s">
        <v>80</v>
      </c>
      <c r="P31" s="18">
        <f t="shared" si="6"/>
        <v>165085.5</v>
      </c>
      <c r="S31" s="1">
        <v>3.3365781794026832</v>
      </c>
      <c r="U31" s="17" t="b">
        <f>AND(OR(WEEKDAY(D2)=$V$29,WEEKDAY(D2)=$V$30),C2=$V$28)</f>
        <v>1</v>
      </c>
      <c r="V31" s="17"/>
      <c r="W31" s="19" t="s">
        <v>110</v>
      </c>
      <c r="X31" s="20">
        <f>DSUM(A1:M65,G1,U30:U31)</f>
        <v>58313</v>
      </c>
    </row>
    <row r="32" spans="1:25" ht="13.8" x14ac:dyDescent="0.25">
      <c r="A32" s="4">
        <v>20108</v>
      </c>
      <c r="B32" s="4" t="s">
        <v>15</v>
      </c>
      <c r="C32" s="4" t="s">
        <v>77</v>
      </c>
      <c r="D32" s="5">
        <v>41274</v>
      </c>
      <c r="E32" s="4">
        <v>4</v>
      </c>
      <c r="F32" s="1">
        <v>3</v>
      </c>
      <c r="G32" s="8">
        <v>135523</v>
      </c>
      <c r="H32" s="1" t="str">
        <f>VLOOKUP(E32,'נתוני עזר'!$B$4:$C$7,2,FALSE)</f>
        <v>מס"ב</v>
      </c>
      <c r="I32" s="15">
        <f t="shared" si="0"/>
        <v>10841.84</v>
      </c>
      <c r="J32" s="1">
        <f t="shared" si="1"/>
        <v>10841.84</v>
      </c>
      <c r="K32" s="16">
        <f t="shared" si="2"/>
        <v>37367.972004876123</v>
      </c>
      <c r="L32" s="16">
        <f t="shared" si="4"/>
        <v>37367.972004876123</v>
      </c>
      <c r="M32" s="1" t="str">
        <f t="shared" si="3"/>
        <v>אפריל</v>
      </c>
      <c r="N32" s="1">
        <f t="shared" si="5"/>
        <v>2012</v>
      </c>
      <c r="O32" s="31" t="s">
        <v>69</v>
      </c>
      <c r="P32" s="18">
        <f t="shared" si="6"/>
        <v>129950.83333333333</v>
      </c>
    </row>
    <row r="33" spans="1:24" ht="13.8" x14ac:dyDescent="0.25">
      <c r="A33" s="4">
        <v>20109</v>
      </c>
      <c r="B33" s="4" t="s">
        <v>4</v>
      </c>
      <c r="C33" s="4" t="s">
        <v>78</v>
      </c>
      <c r="D33" s="5">
        <v>43053</v>
      </c>
      <c r="E33" s="4">
        <v>5</v>
      </c>
      <c r="F33" s="1">
        <v>3</v>
      </c>
      <c r="G33" s="8">
        <v>151959</v>
      </c>
      <c r="H33" s="1" t="e">
        <f>VLOOKUP(E33,'נתוני עזר'!$B$4:$C$7,2,FALSE)</f>
        <v>#N/A</v>
      </c>
      <c r="I33" s="15">
        <f t="shared" si="0"/>
        <v>10637.130000000001</v>
      </c>
      <c r="J33" s="1">
        <f t="shared" si="1"/>
        <v>10637.130000000001</v>
      </c>
      <c r="K33" s="16">
        <f t="shared" si="2"/>
        <v>42355.330042139023</v>
      </c>
      <c r="L33" s="16">
        <f t="shared" si="4"/>
        <v>42355.330042139023</v>
      </c>
      <c r="M33" s="1" t="str">
        <f t="shared" si="3"/>
        <v>דצמבר</v>
      </c>
      <c r="N33" s="1">
        <f t="shared" si="5"/>
        <v>2017</v>
      </c>
      <c r="O33" s="31" t="s">
        <v>76</v>
      </c>
      <c r="P33" s="18">
        <f t="shared" si="6"/>
        <v>133972</v>
      </c>
    </row>
    <row r="34" spans="1:24" ht="13.8" x14ac:dyDescent="0.25">
      <c r="A34" s="4">
        <v>20110</v>
      </c>
      <c r="B34" s="4" t="s">
        <v>17</v>
      </c>
      <c r="C34" s="4" t="s">
        <v>69</v>
      </c>
      <c r="D34" s="5">
        <v>39899</v>
      </c>
      <c r="E34" s="4">
        <v>4</v>
      </c>
      <c r="F34" s="1">
        <v>3</v>
      </c>
      <c r="G34" s="8">
        <v>198056</v>
      </c>
      <c r="H34" s="1" t="str">
        <f>VLOOKUP(E34,'נתוני עזר'!$B$4:$C$7,2,FALSE)</f>
        <v>מס"ב</v>
      </c>
      <c r="I34" s="15">
        <f t="shared" si="0"/>
        <v>11883.359999999999</v>
      </c>
      <c r="J34" s="1">
        <f t="shared" si="1"/>
        <v>11883.359999999999</v>
      </c>
      <c r="K34" s="16">
        <f t="shared" si="2"/>
        <v>55797.475734055413</v>
      </c>
      <c r="L34" s="16">
        <f t="shared" si="4"/>
        <v>55797.475734055413</v>
      </c>
      <c r="M34" s="1" t="str">
        <f t="shared" si="3"/>
        <v>אוקטובר</v>
      </c>
      <c r="N34" s="1">
        <f t="shared" si="5"/>
        <v>2009</v>
      </c>
      <c r="O34" s="31" t="s">
        <v>73</v>
      </c>
      <c r="P34" s="18">
        <f t="shared" si="6"/>
        <v>112306.8</v>
      </c>
    </row>
    <row r="35" spans="1:24" ht="13.8" x14ac:dyDescent="0.25">
      <c r="A35" s="4">
        <v>20122</v>
      </c>
      <c r="B35" s="4" t="s">
        <v>32</v>
      </c>
      <c r="C35" s="4" t="s">
        <v>68</v>
      </c>
      <c r="D35" s="5">
        <v>39730</v>
      </c>
      <c r="E35" s="4">
        <v>3</v>
      </c>
      <c r="F35" s="1">
        <v>2</v>
      </c>
      <c r="G35" s="8">
        <v>173625</v>
      </c>
      <c r="H35" s="1" t="str">
        <f>VLOOKUP(E35,'נתוני עזר'!$B$4:$C$7,2,FALSE)</f>
        <v>צ'קים</v>
      </c>
      <c r="I35" s="15">
        <f t="shared" si="0"/>
        <v>12153.750000000002</v>
      </c>
      <c r="J35" s="1">
        <f t="shared" si="1"/>
        <v>12153.750000000002</v>
      </c>
      <c r="K35" s="16">
        <f t="shared" si="2"/>
        <v>48394.265417424358</v>
      </c>
      <c r="L35" s="16">
        <f t="shared" si="4"/>
        <v>48394.265417424358</v>
      </c>
      <c r="M35" s="1" t="str">
        <f t="shared" si="3"/>
        <v>יוני</v>
      </c>
      <c r="N35" s="1">
        <f t="shared" si="5"/>
        <v>2008</v>
      </c>
      <c r="O35" s="31" t="s">
        <v>70</v>
      </c>
      <c r="P35" s="18">
        <f t="shared" si="6"/>
        <v>109527.25</v>
      </c>
      <c r="R35" s="19" t="s">
        <v>105</v>
      </c>
      <c r="S35" s="19" t="s">
        <v>103</v>
      </c>
    </row>
    <row r="36" spans="1:24" ht="13.8" x14ac:dyDescent="0.25">
      <c r="A36" s="4">
        <v>20114</v>
      </c>
      <c r="B36" s="4" t="s">
        <v>19</v>
      </c>
      <c r="C36" s="4" t="s">
        <v>68</v>
      </c>
      <c r="D36" s="5">
        <v>42204</v>
      </c>
      <c r="E36" s="4">
        <v>2</v>
      </c>
      <c r="F36" s="1">
        <v>7</v>
      </c>
      <c r="G36" s="8">
        <v>78874</v>
      </c>
      <c r="H36" s="1" t="str">
        <f>VLOOKUP(E36,'נתוני עזר'!$B$4:$C$7,2,FALSE)</f>
        <v>מזומן</v>
      </c>
      <c r="I36" s="15">
        <f t="shared" si="0"/>
        <v>3154.96</v>
      </c>
      <c r="J36" s="1">
        <f t="shared" si="1"/>
        <v>3154.96</v>
      </c>
      <c r="K36" s="16">
        <f t="shared" si="2"/>
        <v>22693.620808116437</v>
      </c>
      <c r="L36" s="16">
        <f t="shared" si="4"/>
        <v>22693.620808116437</v>
      </c>
      <c r="M36" s="1" t="str">
        <f t="shared" si="3"/>
        <v>פברואר</v>
      </c>
      <c r="N36" s="1">
        <f t="shared" si="5"/>
        <v>2015</v>
      </c>
      <c r="O36" s="31" t="s">
        <v>68</v>
      </c>
      <c r="P36" s="18">
        <f t="shared" si="6"/>
        <v>116585.16666666667</v>
      </c>
      <c r="S36" s="26" t="s">
        <v>100</v>
      </c>
      <c r="T36" s="17"/>
      <c r="V36" s="19" t="s">
        <v>105</v>
      </c>
      <c r="W36" s="19" t="s">
        <v>107</v>
      </c>
    </row>
    <row r="37" spans="1:24" ht="13.8" x14ac:dyDescent="0.25">
      <c r="A37" s="4">
        <v>20156</v>
      </c>
      <c r="B37" s="4" t="s">
        <v>22</v>
      </c>
      <c r="C37" s="4" t="s">
        <v>73</v>
      </c>
      <c r="D37" s="5">
        <v>40991</v>
      </c>
      <c r="E37" s="4">
        <v>2</v>
      </c>
      <c r="F37" s="1">
        <v>1</v>
      </c>
      <c r="G37" s="8">
        <v>110947</v>
      </c>
      <c r="H37" s="1" t="str">
        <f>VLOOKUP(E37,'נתוני עזר'!$B$4:$C$7,2,FALSE)</f>
        <v>מזומן</v>
      </c>
      <c r="I37" s="15">
        <f t="shared" si="0"/>
        <v>8875.76</v>
      </c>
      <c r="J37" s="1">
        <f t="shared" si="1"/>
        <v>8875.76</v>
      </c>
      <c r="K37" s="16">
        <f t="shared" si="2"/>
        <v>30591.592497398899</v>
      </c>
      <c r="L37" s="16">
        <f t="shared" si="4"/>
        <v>30591.592497398899</v>
      </c>
      <c r="M37" s="1" t="str">
        <f t="shared" si="3"/>
        <v>אוקטובר</v>
      </c>
      <c r="N37" s="1">
        <f t="shared" si="5"/>
        <v>2012</v>
      </c>
      <c r="O37" s="31" t="s">
        <v>71</v>
      </c>
      <c r="P37" s="18">
        <f t="shared" si="6"/>
        <v>131337.4</v>
      </c>
      <c r="S37" s="17"/>
      <c r="T37" s="17"/>
      <c r="W37" s="27"/>
      <c r="X37" s="22">
        <f>T46</f>
        <v>110000.00007963393</v>
      </c>
    </row>
    <row r="38" spans="1:24" ht="13.8" x14ac:dyDescent="0.25">
      <c r="A38" s="4">
        <v>20125</v>
      </c>
      <c r="B38" s="4" t="s">
        <v>39</v>
      </c>
      <c r="C38" s="4" t="s">
        <v>80</v>
      </c>
      <c r="D38" s="5">
        <v>38782</v>
      </c>
      <c r="E38" s="4">
        <v>3</v>
      </c>
      <c r="F38" s="1">
        <v>4</v>
      </c>
      <c r="G38" s="8">
        <v>194622</v>
      </c>
      <c r="H38" s="1" t="str">
        <f>VLOOKUP(E38,'נתוני עזר'!$B$4:$C$7,2,FALSE)</f>
        <v>צ'קים</v>
      </c>
      <c r="I38" s="15">
        <f t="shared" si="0"/>
        <v>13623.54</v>
      </c>
      <c r="J38" s="1">
        <f t="shared" si="1"/>
        <v>13623.54</v>
      </c>
      <c r="K38" s="16">
        <f t="shared" si="2"/>
        <v>54246.731312138014</v>
      </c>
      <c r="L38" s="16">
        <f t="shared" si="4"/>
        <v>54246.731312138014</v>
      </c>
      <c r="M38" s="1" t="str">
        <f t="shared" si="3"/>
        <v>יולי</v>
      </c>
      <c r="N38" s="1">
        <f t="shared" si="5"/>
        <v>2006</v>
      </c>
      <c r="O38" s="31" t="s">
        <v>72</v>
      </c>
      <c r="P38" s="18">
        <f t="shared" si="6"/>
        <v>135646.33333333334</v>
      </c>
      <c r="S38" s="17"/>
      <c r="T38" s="17"/>
      <c r="W38" s="21">
        <v>3</v>
      </c>
      <c r="X38" s="23">
        <f t="dataTable" ref="X38:X46" dt2D="0" dtr="0" r1="S31"/>
        <v>122341.2</v>
      </c>
    </row>
    <row r="39" spans="1:24" ht="13.8" x14ac:dyDescent="0.25">
      <c r="A39" s="4">
        <v>20132</v>
      </c>
      <c r="B39" s="4" t="s">
        <v>43</v>
      </c>
      <c r="C39" s="4" t="s">
        <v>78</v>
      </c>
      <c r="D39" s="5">
        <v>40782</v>
      </c>
      <c r="E39" s="4">
        <v>5</v>
      </c>
      <c r="F39" s="1">
        <v>4</v>
      </c>
      <c r="G39" s="8">
        <v>133542</v>
      </c>
      <c r="H39" s="1" t="e">
        <f>VLOOKUP(E39,'נתוני עזר'!$B$4:$C$7,2,FALSE)</f>
        <v>#N/A</v>
      </c>
      <c r="I39" s="15">
        <f t="shared" si="0"/>
        <v>10683.36</v>
      </c>
      <c r="J39" s="1">
        <f t="shared" si="1"/>
        <v>10683.36</v>
      </c>
      <c r="K39" s="16">
        <f t="shared" si="2"/>
        <v>36821.747728984505</v>
      </c>
      <c r="L39" s="16">
        <f t="shared" si="4"/>
        <v>36821.747728984505</v>
      </c>
      <c r="M39" s="1" t="str">
        <f t="shared" si="3"/>
        <v>אוקטובר</v>
      </c>
      <c r="N39" s="1">
        <f t="shared" si="5"/>
        <v>2011</v>
      </c>
      <c r="O39" s="31" t="s">
        <v>79</v>
      </c>
      <c r="P39" s="18">
        <f t="shared" si="6"/>
        <v>133020</v>
      </c>
      <c r="S39" s="17"/>
      <c r="T39" s="17" t="s">
        <v>68</v>
      </c>
      <c r="W39" s="21">
        <v>3.1</v>
      </c>
      <c r="X39" s="23">
        <v>118394.70967741933</v>
      </c>
    </row>
    <row r="40" spans="1:24" ht="13.8" x14ac:dyDescent="0.25">
      <c r="A40" s="4">
        <v>20133</v>
      </c>
      <c r="B40" s="4" t="s">
        <v>35</v>
      </c>
      <c r="C40" s="4" t="s">
        <v>68</v>
      </c>
      <c r="D40" s="5">
        <v>41646</v>
      </c>
      <c r="E40" s="4">
        <v>3</v>
      </c>
      <c r="F40" s="1">
        <v>10</v>
      </c>
      <c r="G40" s="8">
        <v>75605</v>
      </c>
      <c r="H40" s="1" t="str">
        <f>VLOOKUP(E40,'נתוני עזר'!$B$4:$C$7,2,FALSE)</f>
        <v>צ'קים</v>
      </c>
      <c r="I40" s="15">
        <f t="shared" si="0"/>
        <v>6804.45</v>
      </c>
      <c r="J40" s="1">
        <f t="shared" si="1"/>
        <v>6804.45</v>
      </c>
      <c r="K40" s="16">
        <f t="shared" si="2"/>
        <v>20620.092292372639</v>
      </c>
      <c r="L40" s="16">
        <f t="shared" si="4"/>
        <v>20620.092292372639</v>
      </c>
      <c r="M40" s="1" t="str">
        <f t="shared" si="3"/>
        <v>יוני</v>
      </c>
      <c r="N40" s="1">
        <f t="shared" si="5"/>
        <v>2014</v>
      </c>
      <c r="O40" s="31" t="s">
        <v>78</v>
      </c>
      <c r="P40" s="18">
        <f t="shared" si="6"/>
        <v>143793.4</v>
      </c>
      <c r="S40" s="17"/>
      <c r="T40" s="17">
        <v>2007</v>
      </c>
      <c r="W40" s="21">
        <v>3.2</v>
      </c>
      <c r="X40" s="23">
        <v>114694.87499999999</v>
      </c>
    </row>
    <row r="41" spans="1:24" ht="13.8" x14ac:dyDescent="0.25">
      <c r="A41" s="4">
        <v>20123</v>
      </c>
      <c r="B41" s="4" t="s">
        <v>37</v>
      </c>
      <c r="C41" s="4" t="s">
        <v>75</v>
      </c>
      <c r="D41" s="5">
        <v>42394</v>
      </c>
      <c r="E41" s="4">
        <v>4</v>
      </c>
      <c r="F41" s="1">
        <v>5</v>
      </c>
      <c r="G41" s="8">
        <v>165842</v>
      </c>
      <c r="H41" s="1" t="str">
        <f>VLOOKUP(E41,'נתוני עזר'!$B$4:$C$7,2,FALSE)</f>
        <v>מס"ב</v>
      </c>
      <c r="I41" s="15">
        <f t="shared" si="0"/>
        <v>6633.68</v>
      </c>
      <c r="J41" s="1">
        <f t="shared" si="1"/>
        <v>6633.68</v>
      </c>
      <c r="K41" s="16">
        <f t="shared" si="2"/>
        <v>47716.046632092286</v>
      </c>
      <c r="L41" s="16">
        <f t="shared" si="4"/>
        <v>47716.046632092286</v>
      </c>
      <c r="M41" s="1" t="str">
        <f t="shared" si="3"/>
        <v>אוגוסט</v>
      </c>
      <c r="N41" s="1">
        <f t="shared" si="5"/>
        <v>2016</v>
      </c>
      <c r="O41"/>
      <c r="S41" s="17"/>
      <c r="T41" s="17">
        <v>2012</v>
      </c>
      <c r="W41" s="21">
        <v>3.3</v>
      </c>
      <c r="X41" s="23">
        <v>111219.27272727274</v>
      </c>
    </row>
    <row r="42" spans="1:24" ht="13.8" x14ac:dyDescent="0.25">
      <c r="A42" s="4">
        <v>20150</v>
      </c>
      <c r="B42" s="4" t="s">
        <v>42</v>
      </c>
      <c r="C42" s="4" t="s">
        <v>68</v>
      </c>
      <c r="D42" s="5">
        <v>39651</v>
      </c>
      <c r="E42" s="4">
        <v>1</v>
      </c>
      <c r="F42" s="1">
        <v>1</v>
      </c>
      <c r="G42" s="8">
        <v>67325</v>
      </c>
      <c r="H42" s="1" t="str">
        <f>VLOOKUP(E42,'נתוני עזר'!$B$4:$C$7,2,FALSE)</f>
        <v>העברה בנקאית</v>
      </c>
      <c r="I42" s="15">
        <f t="shared" si="0"/>
        <v>4712.75</v>
      </c>
      <c r="J42" s="1">
        <f t="shared" si="1"/>
        <v>4712.75</v>
      </c>
      <c r="K42" s="16">
        <f t="shared" si="2"/>
        <v>18765.407742134455</v>
      </c>
      <c r="L42" s="16">
        <f t="shared" si="4"/>
        <v>18765.407742134455</v>
      </c>
      <c r="M42" s="1" t="str">
        <f t="shared" si="3"/>
        <v>מאי</v>
      </c>
      <c r="N42" s="1">
        <f t="shared" si="5"/>
        <v>2008</v>
      </c>
      <c r="O42"/>
      <c r="S42" s="17"/>
      <c r="T42" s="17"/>
      <c r="W42" s="21">
        <v>3.4</v>
      </c>
      <c r="X42" s="23">
        <v>107948.11764705883</v>
      </c>
    </row>
    <row r="43" spans="1:24" ht="13.8" x14ac:dyDescent="0.25">
      <c r="A43" s="4">
        <v>20127</v>
      </c>
      <c r="B43" s="4" t="s">
        <v>40</v>
      </c>
      <c r="C43" s="4" t="s">
        <v>69</v>
      </c>
      <c r="D43" s="5">
        <v>38857</v>
      </c>
      <c r="E43" s="4">
        <v>3</v>
      </c>
      <c r="F43" s="1">
        <v>6</v>
      </c>
      <c r="G43" s="8">
        <v>128037</v>
      </c>
      <c r="H43" s="1" t="str">
        <f>VLOOKUP(E43,'נתוני עזר'!$B$4:$C$7,2,FALSE)</f>
        <v>צ'קים</v>
      </c>
      <c r="I43" s="15">
        <f t="shared" si="0"/>
        <v>8962.59</v>
      </c>
      <c r="J43" s="1">
        <f t="shared" si="1"/>
        <v>8962.59</v>
      </c>
      <c r="K43" s="16">
        <f t="shared" si="2"/>
        <v>35687.582786181498</v>
      </c>
      <c r="L43" s="16">
        <f t="shared" si="4"/>
        <v>35687.582786181498</v>
      </c>
      <c r="M43" s="1" t="str">
        <f t="shared" si="3"/>
        <v>ספטמבר</v>
      </c>
      <c r="N43" s="1">
        <f t="shared" si="5"/>
        <v>2006</v>
      </c>
      <c r="O43"/>
      <c r="S43" s="17"/>
      <c r="T43" s="17"/>
      <c r="W43" s="21">
        <v>3.5</v>
      </c>
      <c r="X43" s="23">
        <v>104863.88571428572</v>
      </c>
    </row>
    <row r="44" spans="1:24" ht="13.8" x14ac:dyDescent="0.25">
      <c r="A44" s="4">
        <v>20111</v>
      </c>
      <c r="B44" s="4" t="s">
        <v>38</v>
      </c>
      <c r="C44" s="4" t="s">
        <v>76</v>
      </c>
      <c r="D44" s="5">
        <v>42187</v>
      </c>
      <c r="E44" s="4">
        <v>1</v>
      </c>
      <c r="F44" s="1">
        <v>1</v>
      </c>
      <c r="G44" s="8">
        <v>183655</v>
      </c>
      <c r="H44" s="1" t="str">
        <f>VLOOKUP(E44,'נתוני עזר'!$B$4:$C$7,2,FALSE)</f>
        <v>העברה בנקאית</v>
      </c>
      <c r="I44" s="15">
        <f t="shared" si="0"/>
        <v>7346.2</v>
      </c>
      <c r="J44" s="1">
        <f t="shared" si="1"/>
        <v>7346.2</v>
      </c>
      <c r="K44" s="16">
        <f t="shared" si="2"/>
        <v>52841.201530474231</v>
      </c>
      <c r="L44" s="16">
        <f t="shared" si="4"/>
        <v>52841.201530474231</v>
      </c>
      <c r="M44" s="1" t="str">
        <f t="shared" si="3"/>
        <v>ספטמבר</v>
      </c>
      <c r="N44" s="1">
        <f t="shared" si="5"/>
        <v>2015</v>
      </c>
      <c r="O44"/>
      <c r="S44" s="17"/>
      <c r="T44" s="17" t="b">
        <f>AND(OR(YEAR(D2)=$T$40,YEAR(D2)=$T$41),C2=$T$39)</f>
        <v>0</v>
      </c>
      <c r="W44" s="21">
        <v>3.6</v>
      </c>
      <c r="X44" s="23">
        <v>101951</v>
      </c>
    </row>
    <row r="45" spans="1:24" ht="13.8" x14ac:dyDescent="0.25">
      <c r="A45" s="4">
        <v>20151</v>
      </c>
      <c r="B45" s="4" t="s">
        <v>36</v>
      </c>
      <c r="C45" s="4" t="s">
        <v>77</v>
      </c>
      <c r="D45" s="5">
        <v>40368</v>
      </c>
      <c r="E45" s="4">
        <v>1</v>
      </c>
      <c r="F45" s="1">
        <v>7</v>
      </c>
      <c r="G45" s="8">
        <v>69698</v>
      </c>
      <c r="H45" s="1" t="str">
        <f>VLOOKUP(E45,'נתוני עזר'!$B$4:$C$7,2,FALSE)</f>
        <v>העברה בנקאית</v>
      </c>
      <c r="I45" s="15">
        <f t="shared" si="0"/>
        <v>4181.88</v>
      </c>
      <c r="J45" s="1">
        <f t="shared" si="1"/>
        <v>4181.88</v>
      </c>
      <c r="K45" s="16">
        <f t="shared" si="2"/>
        <v>19635.721531850559</v>
      </c>
      <c r="L45" s="16">
        <f t="shared" si="4"/>
        <v>19635.721531850559</v>
      </c>
      <c r="M45" s="1" t="str">
        <f t="shared" si="3"/>
        <v>אוקטובר</v>
      </c>
      <c r="N45" s="1">
        <f t="shared" si="5"/>
        <v>2010</v>
      </c>
      <c r="O45"/>
      <c r="S45" s="17"/>
      <c r="T45" s="17"/>
      <c r="W45" s="21">
        <v>3.7</v>
      </c>
      <c r="X45" s="23">
        <v>99195.567567567559</v>
      </c>
    </row>
    <row r="46" spans="1:24" ht="13.8" x14ac:dyDescent="0.25">
      <c r="A46" s="4">
        <v>20152</v>
      </c>
      <c r="B46" s="4" t="s">
        <v>41</v>
      </c>
      <c r="C46" s="4" t="s">
        <v>69</v>
      </c>
      <c r="D46" s="5">
        <v>39430</v>
      </c>
      <c r="E46" s="4">
        <v>3</v>
      </c>
      <c r="F46" s="1">
        <v>9</v>
      </c>
      <c r="G46" s="8">
        <v>157573</v>
      </c>
      <c r="H46" s="1" t="str">
        <f>VLOOKUP(E46,'נתוני עזר'!$B$4:$C$7,2,FALSE)</f>
        <v>צ'קים</v>
      </c>
      <c r="I46" s="15">
        <f t="shared" si="0"/>
        <v>11030.11</v>
      </c>
      <c r="J46" s="1">
        <f t="shared" si="1"/>
        <v>11030.11</v>
      </c>
      <c r="K46" s="16">
        <f t="shared" si="2"/>
        <v>43920.112798386232</v>
      </c>
      <c r="L46" s="16">
        <f t="shared" si="4"/>
        <v>43920.112798386232</v>
      </c>
      <c r="M46" s="1" t="str">
        <f t="shared" si="3"/>
        <v>מרץ</v>
      </c>
      <c r="N46" s="1">
        <f t="shared" si="5"/>
        <v>2007</v>
      </c>
      <c r="O46"/>
      <c r="S46" s="19" t="s">
        <v>102</v>
      </c>
      <c r="T46" s="20">
        <f>DSUM(A1:K65,K1,T43:T44)</f>
        <v>110000.00007963393</v>
      </c>
      <c r="W46" s="21">
        <v>3.8</v>
      </c>
      <c r="X46" s="23">
        <v>96585.157894736854</v>
      </c>
    </row>
    <row r="47" spans="1:24" ht="13.8" x14ac:dyDescent="0.25">
      <c r="A47" s="4">
        <v>20134</v>
      </c>
      <c r="B47" s="4" t="s">
        <v>56</v>
      </c>
      <c r="C47" s="4" t="s">
        <v>72</v>
      </c>
      <c r="D47" s="5">
        <v>39708</v>
      </c>
      <c r="E47" s="4">
        <v>3</v>
      </c>
      <c r="F47" s="1">
        <v>1</v>
      </c>
      <c r="G47" s="8">
        <v>79729</v>
      </c>
      <c r="H47" s="1" t="str">
        <f>VLOOKUP(E47,'נתוני עזר'!$B$4:$C$7,2,FALSE)</f>
        <v>צ'קים</v>
      </c>
      <c r="I47" s="15">
        <f t="shared" si="0"/>
        <v>5581.0300000000007</v>
      </c>
      <c r="J47" s="1">
        <f t="shared" si="1"/>
        <v>5581.0300000000007</v>
      </c>
      <c r="K47" s="16">
        <f t="shared" si="2"/>
        <v>22222.758171149471</v>
      </c>
      <c r="L47" s="16">
        <f t="shared" si="4"/>
        <v>22222.758171149471</v>
      </c>
      <c r="M47" s="1" t="str">
        <f t="shared" si="3"/>
        <v>נובמבר</v>
      </c>
      <c r="N47" s="1">
        <f t="shared" si="5"/>
        <v>2008</v>
      </c>
      <c r="O47"/>
    </row>
    <row r="48" spans="1:24" ht="13.8" x14ac:dyDescent="0.25">
      <c r="A48" s="4">
        <v>20157</v>
      </c>
      <c r="B48" s="4" t="s">
        <v>51</v>
      </c>
      <c r="C48" s="4" t="s">
        <v>70</v>
      </c>
      <c r="D48" s="5">
        <v>38876</v>
      </c>
      <c r="E48" s="4">
        <v>2</v>
      </c>
      <c r="F48" s="1">
        <v>9</v>
      </c>
      <c r="G48" s="8">
        <v>75869</v>
      </c>
      <c r="H48" s="1" t="str">
        <f>VLOOKUP(E48,'נתוני עזר'!$B$4:$C$7,2,FALSE)</f>
        <v>מזומן</v>
      </c>
      <c r="I48" s="15">
        <f t="shared" si="0"/>
        <v>5310.8300000000008</v>
      </c>
      <c r="J48" s="1">
        <f t="shared" si="1"/>
        <v>5310.8300000000008</v>
      </c>
      <c r="K48" s="16">
        <f t="shared" si="2"/>
        <v>21146.865502978078</v>
      </c>
      <c r="L48" s="16">
        <f t="shared" si="4"/>
        <v>21146.865502978078</v>
      </c>
      <c r="M48" s="1" t="str">
        <f t="shared" si="3"/>
        <v>נובמבר</v>
      </c>
      <c r="N48" s="1">
        <f t="shared" si="5"/>
        <v>2006</v>
      </c>
      <c r="O48"/>
    </row>
    <row r="49" spans="1:20" ht="13.8" x14ac:dyDescent="0.25">
      <c r="A49" s="4">
        <v>20158</v>
      </c>
      <c r="B49" s="4" t="s">
        <v>55</v>
      </c>
      <c r="C49" s="4" t="s">
        <v>68</v>
      </c>
      <c r="D49" s="5">
        <v>39287</v>
      </c>
      <c r="E49" s="4">
        <v>3</v>
      </c>
      <c r="F49" s="1">
        <v>6</v>
      </c>
      <c r="G49" s="8">
        <v>124264</v>
      </c>
      <c r="H49" s="1" t="str">
        <f>VLOOKUP(E49,'נתוני עזר'!$B$4:$C$7,2,FALSE)</f>
        <v>צ'קים</v>
      </c>
      <c r="I49" s="15">
        <f t="shared" si="0"/>
        <v>8698.4800000000014</v>
      </c>
      <c r="J49" s="1">
        <f t="shared" si="1"/>
        <v>8698.4800000000014</v>
      </c>
      <c r="K49" s="16">
        <f t="shared" si="2"/>
        <v>34635.939512344543</v>
      </c>
      <c r="L49" s="16">
        <f t="shared" si="4"/>
        <v>34635.939512344543</v>
      </c>
      <c r="M49" s="1" t="str">
        <f t="shared" si="3"/>
        <v>אוקטובר</v>
      </c>
      <c r="N49" s="1">
        <f t="shared" si="5"/>
        <v>2007</v>
      </c>
      <c r="O49"/>
    </row>
    <row r="50" spans="1:20" ht="13.8" x14ac:dyDescent="0.25">
      <c r="A50" s="4">
        <v>20118</v>
      </c>
      <c r="B50" s="4" t="s">
        <v>57</v>
      </c>
      <c r="C50" s="4" t="s">
        <v>78</v>
      </c>
      <c r="D50" s="5">
        <v>41536</v>
      </c>
      <c r="E50" s="4">
        <v>4</v>
      </c>
      <c r="F50" s="1">
        <v>5</v>
      </c>
      <c r="G50" s="8">
        <v>61489</v>
      </c>
      <c r="H50" s="1" t="str">
        <f>VLOOKUP(E50,'נתוני עזר'!$B$4:$C$7,2,FALSE)</f>
        <v>מס"ב</v>
      </c>
      <c r="I50" s="15">
        <f t="shared" si="0"/>
        <v>5534.01</v>
      </c>
      <c r="J50" s="1">
        <f t="shared" si="1"/>
        <v>5534.01</v>
      </c>
      <c r="K50" s="16">
        <f t="shared" si="2"/>
        <v>16770.172011979383</v>
      </c>
      <c r="L50" s="16">
        <f t="shared" si="4"/>
        <v>16770.172011979383</v>
      </c>
      <c r="M50" s="1" t="str">
        <f t="shared" si="3"/>
        <v>נובמבר</v>
      </c>
      <c r="N50" s="1">
        <f t="shared" si="5"/>
        <v>2013</v>
      </c>
      <c r="O50"/>
    </row>
    <row r="51" spans="1:20" ht="13.8" x14ac:dyDescent="0.25">
      <c r="A51" s="4">
        <v>20143</v>
      </c>
      <c r="B51" s="4" t="s">
        <v>46</v>
      </c>
      <c r="C51" s="4" t="s">
        <v>71</v>
      </c>
      <c r="D51" s="5">
        <v>38966</v>
      </c>
      <c r="E51" s="4">
        <v>2</v>
      </c>
      <c r="F51" s="1">
        <v>5</v>
      </c>
      <c r="G51" s="8">
        <v>199670</v>
      </c>
      <c r="H51" s="1" t="str">
        <f>VLOOKUP(E51,'נתוני עזר'!$B$4:$C$7,2,FALSE)</f>
        <v>מזומן</v>
      </c>
      <c r="I51" s="15">
        <f t="shared" si="0"/>
        <v>13976.900000000001</v>
      </c>
      <c r="J51" s="1">
        <f t="shared" si="1"/>
        <v>13976.900000000001</v>
      </c>
      <c r="K51" s="16">
        <f t="shared" si="2"/>
        <v>55653.753640876152</v>
      </c>
      <c r="L51" s="16">
        <f t="shared" si="4"/>
        <v>55653.753640876152</v>
      </c>
      <c r="M51" s="1" t="str">
        <f t="shared" si="3"/>
        <v>מאי</v>
      </c>
      <c r="N51" s="1">
        <f t="shared" si="5"/>
        <v>2006</v>
      </c>
      <c r="O51"/>
    </row>
    <row r="52" spans="1:20" ht="13.8" x14ac:dyDescent="0.25">
      <c r="A52" s="4">
        <v>20129</v>
      </c>
      <c r="B52" s="4" t="s">
        <v>53</v>
      </c>
      <c r="C52" s="4" t="s">
        <v>79</v>
      </c>
      <c r="D52" s="5">
        <v>42361</v>
      </c>
      <c r="E52" s="4">
        <v>3</v>
      </c>
      <c r="F52" s="1">
        <v>9</v>
      </c>
      <c r="G52" s="8">
        <v>160646</v>
      </c>
      <c r="H52" s="1" t="str">
        <f>VLOOKUP(E52,'נתוני עזר'!$B$4:$C$7,2,FALSE)</f>
        <v>צ'קים</v>
      </c>
      <c r="I52" s="15">
        <f t="shared" si="0"/>
        <v>6425.84</v>
      </c>
      <c r="J52" s="1">
        <f t="shared" si="1"/>
        <v>6425.84</v>
      </c>
      <c r="K52" s="16">
        <f t="shared" si="2"/>
        <v>46221.05393844199</v>
      </c>
      <c r="L52" s="16">
        <f t="shared" si="4"/>
        <v>46221.05393844199</v>
      </c>
      <c r="M52" s="1" t="str">
        <f t="shared" si="3"/>
        <v>יולי</v>
      </c>
      <c r="N52" s="1">
        <f t="shared" si="5"/>
        <v>2015</v>
      </c>
      <c r="O52"/>
    </row>
    <row r="53" spans="1:20" ht="13.8" x14ac:dyDescent="0.25">
      <c r="A53" s="4">
        <v>20159</v>
      </c>
      <c r="B53" s="4" t="s">
        <v>47</v>
      </c>
      <c r="C53" s="4" t="s">
        <v>70</v>
      </c>
      <c r="D53" s="5">
        <v>39688</v>
      </c>
      <c r="E53" s="4">
        <v>4</v>
      </c>
      <c r="F53" s="1">
        <v>10</v>
      </c>
      <c r="G53" s="8">
        <v>188588</v>
      </c>
      <c r="H53" s="1" t="str">
        <f>VLOOKUP(E53,'נתוני עזר'!$B$4:$C$7,2,FALSE)</f>
        <v>מס"ב</v>
      </c>
      <c r="I53" s="15">
        <f t="shared" si="0"/>
        <v>13201.160000000002</v>
      </c>
      <c r="J53" s="1">
        <f t="shared" si="1"/>
        <v>13201.160000000002</v>
      </c>
      <c r="K53" s="16">
        <f t="shared" si="2"/>
        <v>52564.882514276316</v>
      </c>
      <c r="L53" s="16">
        <f t="shared" si="4"/>
        <v>52564.882514276316</v>
      </c>
      <c r="M53" s="1" t="str">
        <f t="shared" si="3"/>
        <v>נובמבר</v>
      </c>
      <c r="N53" s="1">
        <f t="shared" si="5"/>
        <v>2008</v>
      </c>
      <c r="O53"/>
      <c r="R53" s="19" t="s">
        <v>114</v>
      </c>
      <c r="S53" s="19" t="s">
        <v>107</v>
      </c>
    </row>
    <row r="54" spans="1:20" ht="13.8" x14ac:dyDescent="0.25">
      <c r="A54" s="4">
        <v>20144</v>
      </c>
      <c r="B54" s="4" t="s">
        <v>44</v>
      </c>
      <c r="C54" s="4" t="s">
        <v>68</v>
      </c>
      <c r="D54" s="5">
        <v>43084</v>
      </c>
      <c r="E54" s="4">
        <v>2</v>
      </c>
      <c r="F54" s="1">
        <v>9</v>
      </c>
      <c r="G54" s="8">
        <v>161030</v>
      </c>
      <c r="H54" s="1" t="str">
        <f>VLOOKUP(E54,'נתוני עזר'!$B$4:$C$7,2,FALSE)</f>
        <v>מזומן</v>
      </c>
      <c r="I54" s="15">
        <f t="shared" si="0"/>
        <v>11272.1</v>
      </c>
      <c r="J54" s="1">
        <f t="shared" si="1"/>
        <v>11272.1</v>
      </c>
      <c r="K54" s="16">
        <f t="shared" si="2"/>
        <v>44883.677812341797</v>
      </c>
      <c r="L54" s="16">
        <f t="shared" si="4"/>
        <v>44883.677812341797</v>
      </c>
      <c r="M54" s="1" t="str">
        <f t="shared" si="3"/>
        <v>נובמבר</v>
      </c>
      <c r="N54" s="1">
        <f t="shared" si="5"/>
        <v>2017</v>
      </c>
      <c r="O54"/>
      <c r="S54" s="30">
        <v>40179</v>
      </c>
      <c r="T54" s="21">
        <f t="array" ref="T54:T58">FREQUENCY(D2:D65,S54:S58)</f>
        <v>25</v>
      </c>
    </row>
    <row r="55" spans="1:20" ht="13.8" x14ac:dyDescent="0.25">
      <c r="A55" s="4">
        <v>20135</v>
      </c>
      <c r="B55" s="4" t="s">
        <v>58</v>
      </c>
      <c r="C55" s="4" t="s">
        <v>68</v>
      </c>
      <c r="D55" s="5">
        <v>41473</v>
      </c>
      <c r="E55" s="4">
        <v>4</v>
      </c>
      <c r="F55" s="1">
        <v>6</v>
      </c>
      <c r="G55" s="8">
        <v>65506</v>
      </c>
      <c r="H55" s="1" t="str">
        <f>VLOOKUP(E55,'נתוני עזר'!$B$4:$C$7,2,FALSE)</f>
        <v>מס"ב</v>
      </c>
      <c r="I55" s="15">
        <f t="shared" si="0"/>
        <v>5895.54</v>
      </c>
      <c r="J55" s="1">
        <f t="shared" si="1"/>
        <v>5895.54</v>
      </c>
      <c r="K55" s="16">
        <f t="shared" si="2"/>
        <v>17865.746520787805</v>
      </c>
      <c r="L55" s="16">
        <f t="shared" si="4"/>
        <v>17865.746520787805</v>
      </c>
      <c r="M55" s="1" t="str">
        <f t="shared" si="3"/>
        <v>נובמבר</v>
      </c>
      <c r="N55" s="1">
        <f t="shared" si="5"/>
        <v>2013</v>
      </c>
      <c r="O55"/>
      <c r="S55" s="29">
        <v>41275</v>
      </c>
      <c r="T55" s="21">
        <v>14</v>
      </c>
    </row>
    <row r="56" spans="1:20" ht="13.8" x14ac:dyDescent="0.25">
      <c r="A56" s="4">
        <v>20136</v>
      </c>
      <c r="B56" s="4" t="s">
        <v>54</v>
      </c>
      <c r="C56" s="4" t="s">
        <v>79</v>
      </c>
      <c r="D56" s="5">
        <v>42448</v>
      </c>
      <c r="E56" s="4">
        <v>2</v>
      </c>
      <c r="F56" s="1">
        <v>2</v>
      </c>
      <c r="G56" s="8">
        <v>157943</v>
      </c>
      <c r="H56" s="1" t="str">
        <f>VLOOKUP(E56,'נתוני עזר'!$B$4:$C$7,2,FALSE)</f>
        <v>מזומן</v>
      </c>
      <c r="I56" s="15">
        <f t="shared" si="0"/>
        <v>6317.72</v>
      </c>
      <c r="J56" s="1">
        <f t="shared" si="1"/>
        <v>6317.72</v>
      </c>
      <c r="K56" s="16">
        <f t="shared" si="2"/>
        <v>45443.347000232461</v>
      </c>
      <c r="L56" s="16">
        <f t="shared" si="4"/>
        <v>45443.347000232461</v>
      </c>
      <c r="M56" s="1" t="str">
        <f t="shared" si="3"/>
        <v>מאי</v>
      </c>
      <c r="N56" s="1">
        <f t="shared" si="5"/>
        <v>2016</v>
      </c>
      <c r="O56"/>
      <c r="S56" s="29">
        <v>42005</v>
      </c>
      <c r="T56" s="21">
        <v>11</v>
      </c>
    </row>
    <row r="57" spans="1:20" ht="13.8" x14ac:dyDescent="0.25">
      <c r="A57" s="4">
        <v>20145</v>
      </c>
      <c r="B57" s="4" t="s">
        <v>48</v>
      </c>
      <c r="C57" s="4" t="s">
        <v>69</v>
      </c>
      <c r="D57" s="5">
        <v>39688</v>
      </c>
      <c r="E57" s="4">
        <v>1</v>
      </c>
      <c r="F57" s="1">
        <v>6</v>
      </c>
      <c r="G57" s="8">
        <v>52386</v>
      </c>
      <c r="H57" s="1" t="str">
        <f>VLOOKUP(E57,'נתוני עזר'!$B$4:$C$7,2,FALSE)</f>
        <v>העברה בנקאית</v>
      </c>
      <c r="I57" s="15">
        <f t="shared" si="0"/>
        <v>3667.0200000000004</v>
      </c>
      <c r="J57" s="1">
        <f t="shared" si="1"/>
        <v>3667.0200000000004</v>
      </c>
      <c r="K57" s="16">
        <f t="shared" si="2"/>
        <v>14601.480133374758</v>
      </c>
      <c r="L57" s="16">
        <f t="shared" si="4"/>
        <v>14601.480133374758</v>
      </c>
      <c r="M57" s="1" t="str">
        <f t="shared" si="3"/>
        <v>דצמבר</v>
      </c>
      <c r="N57" s="1">
        <f t="shared" si="5"/>
        <v>2008</v>
      </c>
      <c r="O57"/>
      <c r="S57" s="29">
        <v>42736</v>
      </c>
      <c r="T57" s="21">
        <v>8</v>
      </c>
    </row>
    <row r="58" spans="1:20" ht="13.8" x14ac:dyDescent="0.25">
      <c r="A58" s="4">
        <v>20160</v>
      </c>
      <c r="B58" s="4" t="s">
        <v>52</v>
      </c>
      <c r="C58" s="4" t="s">
        <v>75</v>
      </c>
      <c r="D58" s="5">
        <v>39522</v>
      </c>
      <c r="E58" s="4">
        <v>4</v>
      </c>
      <c r="F58" s="1">
        <v>2</v>
      </c>
      <c r="G58" s="8">
        <v>85300</v>
      </c>
      <c r="H58" s="1" t="str">
        <f>VLOOKUP(E58,'נתוני עזר'!$B$4:$C$7,2,FALSE)</f>
        <v>מס"ב</v>
      </c>
      <c r="I58" s="15">
        <f t="shared" si="0"/>
        <v>5971.0000000000009</v>
      </c>
      <c r="J58" s="1">
        <f t="shared" si="1"/>
        <v>5971.0000000000009</v>
      </c>
      <c r="K58" s="16">
        <f t="shared" si="2"/>
        <v>23775.55559456471</v>
      </c>
      <c r="L58" s="16">
        <f t="shared" si="4"/>
        <v>23775.55559456471</v>
      </c>
      <c r="M58" s="1" t="str">
        <f t="shared" si="3"/>
        <v>פברואר</v>
      </c>
      <c r="N58" s="1">
        <f t="shared" si="5"/>
        <v>2008</v>
      </c>
      <c r="O58"/>
      <c r="S58" s="21"/>
      <c r="T58" s="21">
        <v>6</v>
      </c>
    </row>
    <row r="59" spans="1:20" ht="13.8" x14ac:dyDescent="0.25">
      <c r="A59" s="4">
        <v>20137</v>
      </c>
      <c r="B59" s="4" t="s">
        <v>59</v>
      </c>
      <c r="C59" s="4" t="s">
        <v>68</v>
      </c>
      <c r="D59" s="5">
        <v>41243</v>
      </c>
      <c r="E59" s="4">
        <v>4</v>
      </c>
      <c r="F59" s="1">
        <v>1</v>
      </c>
      <c r="G59" s="8">
        <v>157479</v>
      </c>
      <c r="H59" s="1" t="str">
        <f>VLOOKUP(E59,'נתוני עזר'!$B$4:$C$7,2,FALSE)</f>
        <v>מס"ב</v>
      </c>
      <c r="I59" s="15">
        <f t="shared" si="0"/>
        <v>12598.32</v>
      </c>
      <c r="J59" s="1">
        <f t="shared" si="1"/>
        <v>12598.32</v>
      </c>
      <c r="K59" s="16">
        <f t="shared" si="2"/>
        <v>43421.934751709203</v>
      </c>
      <c r="L59" s="16">
        <f t="shared" si="4"/>
        <v>43421.934751709203</v>
      </c>
      <c r="M59" s="1" t="str">
        <f t="shared" si="3"/>
        <v>נובמבר</v>
      </c>
      <c r="N59" s="1">
        <f t="shared" si="5"/>
        <v>2012</v>
      </c>
      <c r="O59"/>
    </row>
    <row r="60" spans="1:20" ht="13.8" x14ac:dyDescent="0.25">
      <c r="A60" s="4">
        <v>20116</v>
      </c>
      <c r="B60" s="4" t="s">
        <v>60</v>
      </c>
      <c r="C60" s="4" t="s">
        <v>72</v>
      </c>
      <c r="D60" s="5">
        <v>38973</v>
      </c>
      <c r="E60" s="4">
        <v>1</v>
      </c>
      <c r="F60" s="1">
        <v>4</v>
      </c>
      <c r="G60" s="8">
        <v>180892</v>
      </c>
      <c r="H60" s="1" t="str">
        <f>VLOOKUP(E60,'נתוני עזר'!$B$4:$C$7,2,FALSE)</f>
        <v>העברה בנקאית</v>
      </c>
      <c r="I60" s="15">
        <f t="shared" si="0"/>
        <v>12662.44</v>
      </c>
      <c r="J60" s="1">
        <f t="shared" si="1"/>
        <v>12662.44</v>
      </c>
      <c r="K60" s="16">
        <f t="shared" si="2"/>
        <v>50419.786666025786</v>
      </c>
      <c r="L60" s="16">
        <f t="shared" si="4"/>
        <v>50419.786666025786</v>
      </c>
      <c r="M60" s="1" t="str">
        <f t="shared" si="3"/>
        <v>ינואר</v>
      </c>
      <c r="N60" s="1">
        <f t="shared" si="5"/>
        <v>2006</v>
      </c>
      <c r="O60"/>
    </row>
    <row r="61" spans="1:20" ht="13.8" x14ac:dyDescent="0.25">
      <c r="A61" s="4">
        <v>20161</v>
      </c>
      <c r="B61" s="4" t="s">
        <v>67</v>
      </c>
      <c r="C61" s="4" t="s">
        <v>73</v>
      </c>
      <c r="D61" s="5">
        <v>39662</v>
      </c>
      <c r="E61" s="4">
        <v>3</v>
      </c>
      <c r="F61" s="1">
        <v>2</v>
      </c>
      <c r="G61" s="8">
        <v>87755</v>
      </c>
      <c r="H61" s="1" t="str">
        <f>VLOOKUP(E61,'נתוני עזר'!$B$4:$C$7,2,FALSE)</f>
        <v>צ'קים</v>
      </c>
      <c r="I61" s="15">
        <f t="shared" si="0"/>
        <v>6142.85</v>
      </c>
      <c r="J61" s="1">
        <f t="shared" si="1"/>
        <v>6142.85</v>
      </c>
      <c r="K61" s="16">
        <f t="shared" si="2"/>
        <v>24459.834480668535</v>
      </c>
      <c r="L61" s="16">
        <f t="shared" si="4"/>
        <v>24459.834480668535</v>
      </c>
      <c r="M61" s="1" t="str">
        <f t="shared" si="3"/>
        <v>דצמבר</v>
      </c>
      <c r="N61" s="1">
        <f t="shared" si="5"/>
        <v>2008</v>
      </c>
      <c r="O61"/>
    </row>
    <row r="62" spans="1:20" ht="13.8" x14ac:dyDescent="0.25">
      <c r="A62" s="4">
        <v>20146</v>
      </c>
      <c r="B62" s="4" t="s">
        <v>29</v>
      </c>
      <c r="C62" s="4" t="s">
        <v>71</v>
      </c>
      <c r="D62" s="5">
        <v>39448</v>
      </c>
      <c r="E62" s="4">
        <v>5</v>
      </c>
      <c r="F62" s="1">
        <v>8</v>
      </c>
      <c r="G62" s="8">
        <v>119848</v>
      </c>
      <c r="H62" s="1" t="e">
        <f>VLOOKUP(E62,'נתוני עזר'!$B$4:$C$7,2,FALSE)</f>
        <v>#N/A</v>
      </c>
      <c r="I62" s="15">
        <f t="shared" si="0"/>
        <v>8389.36</v>
      </c>
      <c r="J62" s="1">
        <f t="shared" si="1"/>
        <v>8389.36</v>
      </c>
      <c r="K62" s="16">
        <f t="shared" si="2"/>
        <v>33405.073703369184</v>
      </c>
      <c r="L62" s="16">
        <f t="shared" si="4"/>
        <v>33405.073703369184</v>
      </c>
      <c r="M62" s="1" t="str">
        <f t="shared" si="3"/>
        <v>יוני</v>
      </c>
      <c r="N62" s="1">
        <f t="shared" si="5"/>
        <v>2008</v>
      </c>
      <c r="O62"/>
    </row>
    <row r="63" spans="1:20" ht="13.8" x14ac:dyDescent="0.25">
      <c r="A63" s="4">
        <v>20106</v>
      </c>
      <c r="B63" s="4" t="s">
        <v>0</v>
      </c>
      <c r="C63" s="4" t="s">
        <v>71</v>
      </c>
      <c r="D63" s="5">
        <v>41649</v>
      </c>
      <c r="E63" s="4">
        <v>2</v>
      </c>
      <c r="F63" s="1">
        <v>3</v>
      </c>
      <c r="G63" s="8">
        <v>168416</v>
      </c>
      <c r="H63" s="1" t="str">
        <f>VLOOKUP(E63,'נתוני עזר'!$B$4:$C$7,2,FALSE)</f>
        <v>מזומן</v>
      </c>
      <c r="I63" s="15">
        <f t="shared" si="0"/>
        <v>15157.439999999999</v>
      </c>
      <c r="J63" s="1">
        <f t="shared" si="1"/>
        <v>15157.439999999999</v>
      </c>
      <c r="K63" s="16">
        <f t="shared" si="2"/>
        <v>45932.854487298857</v>
      </c>
      <c r="L63" s="16">
        <f t="shared" si="4"/>
        <v>45932.854487298857</v>
      </c>
      <c r="M63" s="1" t="str">
        <f t="shared" si="3"/>
        <v>אוקטובר</v>
      </c>
      <c r="N63" s="1">
        <f t="shared" si="5"/>
        <v>2014</v>
      </c>
      <c r="O63"/>
    </row>
    <row r="64" spans="1:20" ht="13.8" x14ac:dyDescent="0.25">
      <c r="A64" s="4">
        <v>20162</v>
      </c>
      <c r="B64" s="4" t="s">
        <v>50</v>
      </c>
      <c r="C64" s="4" t="s">
        <v>78</v>
      </c>
      <c r="D64" s="5">
        <v>40285</v>
      </c>
      <c r="E64" s="4">
        <v>1</v>
      </c>
      <c r="F64" s="1">
        <v>5</v>
      </c>
      <c r="G64" s="8">
        <v>179795</v>
      </c>
      <c r="H64" s="1" t="str">
        <f>VLOOKUP(E64,'נתוני עזר'!$B$4:$C$7,2,FALSE)</f>
        <v>העברה בנקאית</v>
      </c>
      <c r="I64" s="15">
        <f t="shared" si="0"/>
        <v>10787.699999999999</v>
      </c>
      <c r="J64" s="1">
        <f t="shared" si="1"/>
        <v>10787.699999999999</v>
      </c>
      <c r="K64" s="16">
        <f t="shared" si="2"/>
        <v>50652.881758717194</v>
      </c>
      <c r="L64" s="16">
        <f t="shared" si="4"/>
        <v>50652.881758717194</v>
      </c>
      <c r="M64" s="1" t="str">
        <f t="shared" si="3"/>
        <v>ספטמבר</v>
      </c>
      <c r="N64" s="1">
        <f t="shared" si="5"/>
        <v>2010</v>
      </c>
      <c r="O64"/>
    </row>
    <row r="65" spans="1:15" ht="13.8" x14ac:dyDescent="0.25">
      <c r="A65" s="4">
        <v>20163</v>
      </c>
      <c r="B65" s="4" t="s">
        <v>49</v>
      </c>
      <c r="C65" s="4" t="s">
        <v>69</v>
      </c>
      <c r="D65" s="5">
        <v>39892</v>
      </c>
      <c r="E65" s="4">
        <v>3</v>
      </c>
      <c r="F65" s="1">
        <v>5</v>
      </c>
      <c r="G65" s="8">
        <v>69566</v>
      </c>
      <c r="H65" s="1" t="str">
        <f>VLOOKUP(E65,'נתוני עזר'!$B$4:$C$7,2,FALSE)</f>
        <v>צ'קים</v>
      </c>
      <c r="I65" s="15">
        <f t="shared" si="0"/>
        <v>4173.96</v>
      </c>
      <c r="J65" s="1">
        <f t="shared" si="1"/>
        <v>4173.96</v>
      </c>
      <c r="K65" s="16">
        <f t="shared" si="2"/>
        <v>19598.533732455966</v>
      </c>
      <c r="L65" s="16">
        <f t="shared" si="4"/>
        <v>19598.533732455966</v>
      </c>
      <c r="M65" s="1" t="str">
        <f t="shared" si="3"/>
        <v>אוגוסט</v>
      </c>
      <c r="N65" s="1">
        <f t="shared" si="5"/>
        <v>2009</v>
      </c>
      <c r="O65"/>
    </row>
    <row r="66" spans="1:15" x14ac:dyDescent="0.25">
      <c r="O66"/>
    </row>
    <row r="67" spans="1:15" x14ac:dyDescent="0.25">
      <c r="D67" s="2"/>
      <c r="O67"/>
    </row>
    <row r="68" spans="1:15" x14ac:dyDescent="0.25">
      <c r="D68" s="2"/>
      <c r="O68"/>
    </row>
    <row r="69" spans="1:15" x14ac:dyDescent="0.25">
      <c r="D69" s="2"/>
      <c r="O69"/>
    </row>
    <row r="70" spans="1:15" x14ac:dyDescent="0.25">
      <c r="O70"/>
    </row>
    <row r="71" spans="1:15" x14ac:dyDescent="0.25">
      <c r="O71"/>
    </row>
    <row r="72" spans="1:15" x14ac:dyDescent="0.25">
      <c r="O72"/>
    </row>
    <row r="73" spans="1:15" x14ac:dyDescent="0.25">
      <c r="O73"/>
    </row>
    <row r="74" spans="1:15" x14ac:dyDescent="0.25">
      <c r="O74"/>
    </row>
    <row r="75" spans="1:15" x14ac:dyDescent="0.25">
      <c r="O75"/>
    </row>
    <row r="76" spans="1:15" x14ac:dyDescent="0.25">
      <c r="O76"/>
    </row>
    <row r="77" spans="1:15" x14ac:dyDescent="0.25">
      <c r="O77"/>
    </row>
    <row r="78" spans="1:15" x14ac:dyDescent="0.25">
      <c r="O78"/>
    </row>
    <row r="79" spans="1:15" x14ac:dyDescent="0.25">
      <c r="O79"/>
    </row>
    <row r="80" spans="1:15" x14ac:dyDescent="0.25">
      <c r="O80"/>
    </row>
    <row r="81" spans="15:15" x14ac:dyDescent="0.25">
      <c r="O81"/>
    </row>
    <row r="82" spans="15:15" x14ac:dyDescent="0.25">
      <c r="O82"/>
    </row>
    <row r="83" spans="15:15" x14ac:dyDescent="0.25">
      <c r="O83"/>
    </row>
    <row r="84" spans="15:15" x14ac:dyDescent="0.25">
      <c r="O84"/>
    </row>
    <row r="85" spans="15:15" x14ac:dyDescent="0.25">
      <c r="O85"/>
    </row>
    <row r="86" spans="15:15" x14ac:dyDescent="0.25">
      <c r="O86"/>
    </row>
    <row r="87" spans="15:15" x14ac:dyDescent="0.25">
      <c r="O87"/>
    </row>
    <row r="88" spans="15:15" x14ac:dyDescent="0.25">
      <c r="O88"/>
    </row>
    <row r="89" spans="15:15" x14ac:dyDescent="0.25">
      <c r="O89"/>
    </row>
    <row r="90" spans="15:15" x14ac:dyDescent="0.25">
      <c r="O90"/>
    </row>
    <row r="91" spans="15:15" x14ac:dyDescent="0.25">
      <c r="O91"/>
    </row>
  </sheetData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48699-8C56-4A4C-922E-7C69DBC69ADD}">
  <dimension ref="A1"/>
  <sheetViews>
    <sheetView rightToLeft="1" workbookViewId="0">
      <selection activeCell="A26" sqref="A26"/>
    </sheetView>
  </sheetViews>
  <sheetFormatPr defaultRowHeight="13.2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0A9E4-4C1A-46BB-A49A-05FCBD6C8212}">
  <dimension ref="A1:AE91"/>
  <sheetViews>
    <sheetView rightToLeft="1" workbookViewId="0">
      <selection activeCell="N21" sqref="N21"/>
    </sheetView>
  </sheetViews>
  <sheetFormatPr defaultColWidth="8.77734375" defaultRowHeight="13.2" x14ac:dyDescent="0.25"/>
  <cols>
    <col min="1" max="1" width="11.77734375" style="1" customWidth="1"/>
    <col min="2" max="2" width="11.44140625" style="1" customWidth="1"/>
    <col min="3" max="3" width="15.6640625" style="1" customWidth="1"/>
    <col min="4" max="4" width="16.6640625" style="1" customWidth="1"/>
    <col min="5" max="5" width="11.33203125" style="1" customWidth="1"/>
    <col min="6" max="6" width="16.6640625" style="1" customWidth="1"/>
    <col min="7" max="7" width="16.33203125" style="1" customWidth="1"/>
    <col min="8" max="8" width="18.109375" style="1" customWidth="1"/>
    <col min="9" max="9" width="19" style="1" customWidth="1"/>
    <col min="10" max="10" width="24.109375" style="1" customWidth="1"/>
    <col min="11" max="11" width="21.33203125" style="1" customWidth="1"/>
    <col min="12" max="12" width="24.109375" style="1" customWidth="1"/>
    <col min="13" max="15" width="8.77734375" style="1"/>
    <col min="16" max="16" width="10.44140625" style="1" bestFit="1" customWidth="1"/>
    <col min="17" max="19" width="8.77734375" style="1"/>
    <col min="20" max="20" width="10.44140625" style="1" bestFit="1" customWidth="1"/>
    <col min="21" max="23" width="8.77734375" style="1"/>
    <col min="24" max="24" width="9.44140625" style="1" bestFit="1" customWidth="1"/>
    <col min="25" max="16384" width="8.77734375" style="1"/>
  </cols>
  <sheetData>
    <row r="1" spans="1:31" s="7" customFormat="1" ht="33.75" customHeight="1" x14ac:dyDescent="0.25">
      <c r="A1" s="6" t="s">
        <v>92</v>
      </c>
      <c r="B1" s="6" t="s">
        <v>87</v>
      </c>
      <c r="C1" s="6" t="s">
        <v>86</v>
      </c>
      <c r="D1" s="6" t="s">
        <v>88</v>
      </c>
      <c r="E1" s="6" t="s">
        <v>89</v>
      </c>
      <c r="F1" s="6" t="s">
        <v>90</v>
      </c>
      <c r="G1" s="6" t="s">
        <v>91</v>
      </c>
      <c r="H1" s="6" t="s">
        <v>94</v>
      </c>
      <c r="I1" s="6" t="s">
        <v>95</v>
      </c>
      <c r="J1" s="6" t="s">
        <v>101</v>
      </c>
      <c r="L1" s="41"/>
      <c r="M1" s="41"/>
      <c r="N1" s="52"/>
      <c r="P1" s="7" t="s">
        <v>123</v>
      </c>
    </row>
    <row r="2" spans="1:31" ht="13.8" x14ac:dyDescent="0.25">
      <c r="A2" s="4">
        <v>20103</v>
      </c>
      <c r="B2" s="4" t="s">
        <v>24</v>
      </c>
      <c r="C2" s="4" t="s">
        <v>74</v>
      </c>
      <c r="D2" s="5">
        <v>41907</v>
      </c>
      <c r="E2" s="4">
        <v>2</v>
      </c>
      <c r="F2" s="1">
        <v>8</v>
      </c>
      <c r="G2" s="8">
        <v>58313</v>
      </c>
      <c r="H2" s="1" t="str">
        <f>VLOOKUP(E2,'נתוני עזר'!$B$4:$C$7,2,FALSE)</f>
        <v>מזומן</v>
      </c>
      <c r="I2" s="15">
        <f t="shared" ref="I2:I65" si="0">G2*IF(YEAR(D2)&lt;=$R$5,$S$14,IF(YEAR(D2)&lt;=$R$6,$S$6,IF(YEAR(D2)&lt;=$R$8,$S$8,IF(YEAR(D2)&lt;=$R$10,$S$10,IF(YEAR(D2)&lt;=$R$12,$S$12,$S$14)))))</f>
        <v>5248.17</v>
      </c>
      <c r="J2" s="16">
        <f>(G2-I2)/$L$17</f>
        <v>14740.230555555556</v>
      </c>
      <c r="K2" s="16"/>
      <c r="L2" s="16" t="s">
        <v>126</v>
      </c>
      <c r="O2" s="28"/>
      <c r="P2" s="1">
        <f>YEAR(D2)</f>
        <v>2014</v>
      </c>
    </row>
    <row r="3" spans="1:31" ht="13.8" x14ac:dyDescent="0.25">
      <c r="A3" s="4">
        <v>20138</v>
      </c>
      <c r="B3" s="4" t="s">
        <v>14</v>
      </c>
      <c r="C3" s="4" t="s">
        <v>74</v>
      </c>
      <c r="D3" s="5">
        <v>42616</v>
      </c>
      <c r="E3" s="4">
        <v>4</v>
      </c>
      <c r="F3" s="1">
        <v>4</v>
      </c>
      <c r="G3" s="8">
        <v>127284</v>
      </c>
      <c r="H3" s="1" t="str">
        <f>VLOOKUP(E3,'נתוני עזר'!$B$4:$C$7,2,FALSE)</f>
        <v>מס"ב</v>
      </c>
      <c r="I3" s="15">
        <f t="shared" si="0"/>
        <v>5091.3599999999997</v>
      </c>
      <c r="J3" s="16">
        <f t="shared" ref="J3:J65" si="1">(G3-I3)/$L$17</f>
        <v>33942.400000000001</v>
      </c>
      <c r="K3" s="62"/>
      <c r="L3" s="16">
        <f>O15</f>
        <v>359122.08333333326</v>
      </c>
      <c r="P3" s="1">
        <f t="shared" ref="P3:P65" si="2">YEAR(D3)</f>
        <v>2016</v>
      </c>
      <c r="T3" s="42"/>
      <c r="U3" s="42"/>
      <c r="V3" s="42"/>
      <c r="W3" s="42"/>
      <c r="X3" s="42"/>
      <c r="Y3" s="42"/>
      <c r="AA3" s="42"/>
      <c r="AB3" s="42"/>
      <c r="AC3" s="42"/>
      <c r="AD3" s="42"/>
      <c r="AE3" s="42"/>
    </row>
    <row r="4" spans="1:31" ht="13.8" x14ac:dyDescent="0.25">
      <c r="A4" s="4">
        <v>20107</v>
      </c>
      <c r="B4" s="4" t="s">
        <v>33</v>
      </c>
      <c r="C4" s="4" t="s">
        <v>75</v>
      </c>
      <c r="D4" s="5">
        <v>42821</v>
      </c>
      <c r="E4" s="4">
        <v>1</v>
      </c>
      <c r="F4" s="1">
        <v>5</v>
      </c>
      <c r="G4" s="8">
        <v>190177</v>
      </c>
      <c r="H4" s="1" t="str">
        <f>VLOOKUP(E4,'נתוני עזר'!$B$4:$C$7,2,FALSE)</f>
        <v>העברה בנקאית</v>
      </c>
      <c r="I4" s="15">
        <f t="shared" si="0"/>
        <v>13312.390000000001</v>
      </c>
      <c r="J4" s="16">
        <f t="shared" si="1"/>
        <v>49129.058333333327</v>
      </c>
      <c r="K4" s="16">
        <v>3</v>
      </c>
      <c r="L4" s="16">
        <f t="dataTable" ref="L4:L12" dt2D="0" dtr="0" r1="L17"/>
        <v>430946.49999999994</v>
      </c>
      <c r="P4" s="1">
        <f t="shared" si="2"/>
        <v>2017</v>
      </c>
      <c r="Q4" s="19" t="s">
        <v>104</v>
      </c>
      <c r="R4" s="19" t="s">
        <v>103</v>
      </c>
      <c r="T4" s="42"/>
      <c r="U4" s="42"/>
      <c r="V4" s="42"/>
      <c r="W4" s="42"/>
      <c r="X4" s="42"/>
      <c r="Y4" s="42"/>
      <c r="AA4" s="42"/>
      <c r="AB4" s="42"/>
      <c r="AC4" s="42"/>
      <c r="AD4" s="42"/>
      <c r="AE4" s="42"/>
    </row>
    <row r="5" spans="1:31" ht="13.8" x14ac:dyDescent="0.25">
      <c r="A5" s="4">
        <v>20147</v>
      </c>
      <c r="B5" s="4" t="s">
        <v>34</v>
      </c>
      <c r="C5" s="4" t="s">
        <v>77</v>
      </c>
      <c r="D5" s="5">
        <v>41824</v>
      </c>
      <c r="E5" s="4">
        <v>3</v>
      </c>
      <c r="F5" s="1">
        <v>10</v>
      </c>
      <c r="G5" s="8">
        <v>185512</v>
      </c>
      <c r="H5" s="1" t="str">
        <f>VLOOKUP(E5,'נתוני עזר'!$B$4:$C$7,2,FALSE)</f>
        <v>צ'קים</v>
      </c>
      <c r="I5" s="15">
        <f t="shared" si="0"/>
        <v>16696.079999999998</v>
      </c>
      <c r="J5" s="16">
        <f t="shared" si="1"/>
        <v>46893.311111111114</v>
      </c>
      <c r="K5" s="16">
        <v>3.1</v>
      </c>
      <c r="L5" s="16">
        <v>417045.00000000006</v>
      </c>
      <c r="P5" s="1">
        <f t="shared" si="2"/>
        <v>2014</v>
      </c>
      <c r="R5" s="26">
        <v>2008</v>
      </c>
      <c r="S5" s="53"/>
      <c r="T5" s="42"/>
      <c r="U5" s="56"/>
      <c r="V5" s="44"/>
      <c r="W5" s="42"/>
      <c r="X5" s="42"/>
      <c r="Y5" s="42"/>
      <c r="AA5" s="42"/>
      <c r="AB5" s="42"/>
      <c r="AC5" s="42"/>
      <c r="AD5" s="42"/>
      <c r="AE5" s="42"/>
    </row>
    <row r="6" spans="1:31" ht="13.8" x14ac:dyDescent="0.25">
      <c r="A6" s="4">
        <v>20104</v>
      </c>
      <c r="B6" s="4" t="s">
        <v>3</v>
      </c>
      <c r="C6" s="4" t="s">
        <v>80</v>
      </c>
      <c r="D6" s="5">
        <v>40307</v>
      </c>
      <c r="E6" s="4">
        <v>2</v>
      </c>
      <c r="F6" s="1">
        <v>8</v>
      </c>
      <c r="G6" s="8">
        <v>135549</v>
      </c>
      <c r="H6" s="1" t="str">
        <f>VLOOKUP(E6,'נתוני עזר'!$B$4:$C$7,2,FALSE)</f>
        <v>מזומן</v>
      </c>
      <c r="I6" s="15">
        <f t="shared" si="0"/>
        <v>8132.94</v>
      </c>
      <c r="J6" s="16">
        <f t="shared" si="1"/>
        <v>35393.35</v>
      </c>
      <c r="K6" s="16">
        <v>3.2</v>
      </c>
      <c r="L6" s="16">
        <v>404012.34374999988</v>
      </c>
      <c r="P6" s="1">
        <f t="shared" si="2"/>
        <v>2010</v>
      </c>
      <c r="R6" s="17">
        <v>2010</v>
      </c>
      <c r="S6" s="54">
        <v>0.06</v>
      </c>
      <c r="T6" s="42"/>
      <c r="U6" s="42"/>
      <c r="V6" s="43"/>
      <c r="W6" s="43"/>
      <c r="X6" s="43"/>
      <c r="Y6" s="42"/>
      <c r="AA6" s="42"/>
      <c r="AB6" s="42"/>
      <c r="AC6" s="42"/>
      <c r="AD6" s="42"/>
      <c r="AE6" s="42"/>
    </row>
    <row r="7" spans="1:31" ht="13.8" x14ac:dyDescent="0.25">
      <c r="A7" s="4">
        <v>20117</v>
      </c>
      <c r="B7" s="4" t="s">
        <v>9</v>
      </c>
      <c r="C7" s="4" t="s">
        <v>75</v>
      </c>
      <c r="D7" s="5">
        <v>40985</v>
      </c>
      <c r="E7" s="4">
        <v>1</v>
      </c>
      <c r="F7" s="1">
        <v>7</v>
      </c>
      <c r="G7" s="8">
        <v>199206</v>
      </c>
      <c r="H7" s="1" t="str">
        <f>VLOOKUP(E7,'נתוני עזר'!$B$4:$C$7,2,FALSE)</f>
        <v>העברה בנקאית</v>
      </c>
      <c r="I7" s="15">
        <f t="shared" si="0"/>
        <v>15936.48</v>
      </c>
      <c r="J7" s="16">
        <f t="shared" si="1"/>
        <v>50908.2</v>
      </c>
      <c r="K7" s="16">
        <v>3.3</v>
      </c>
      <c r="L7" s="16">
        <v>391769.54545454547</v>
      </c>
      <c r="P7" s="1">
        <f t="shared" si="2"/>
        <v>2012</v>
      </c>
      <c r="R7" s="17"/>
      <c r="S7" s="53"/>
      <c r="T7" s="42"/>
      <c r="U7" s="42"/>
      <c r="V7" s="43"/>
      <c r="W7" s="43"/>
      <c r="X7" s="43"/>
      <c r="Y7" s="42"/>
      <c r="AA7" s="42"/>
      <c r="AB7" s="42"/>
      <c r="AC7" s="42"/>
      <c r="AD7" s="42"/>
      <c r="AE7" s="42"/>
    </row>
    <row r="8" spans="1:31" ht="13.8" x14ac:dyDescent="0.25">
      <c r="A8" s="4">
        <v>20130</v>
      </c>
      <c r="B8" s="4" t="s">
        <v>65</v>
      </c>
      <c r="C8" s="4" t="s">
        <v>69</v>
      </c>
      <c r="D8" s="5">
        <v>38916</v>
      </c>
      <c r="E8" s="4">
        <v>5</v>
      </c>
      <c r="F8" s="1">
        <v>5</v>
      </c>
      <c r="G8" s="8">
        <v>174087</v>
      </c>
      <c r="H8" s="1" t="e">
        <f>VLOOKUP(E8,'נתוני עזר'!$B$4:$C$7,2,FALSE)</f>
        <v>#N/A</v>
      </c>
      <c r="I8" s="15">
        <f t="shared" si="0"/>
        <v>12186.090000000002</v>
      </c>
      <c r="J8" s="16">
        <f t="shared" si="1"/>
        <v>44972.474999999999</v>
      </c>
      <c r="K8" s="16">
        <v>3.4</v>
      </c>
      <c r="L8" s="16">
        <v>380246.9117647059</v>
      </c>
      <c r="P8" s="1">
        <f t="shared" si="2"/>
        <v>2006</v>
      </c>
      <c r="R8" s="17">
        <v>2012</v>
      </c>
      <c r="S8" s="54">
        <v>0.08</v>
      </c>
      <c r="T8" s="42"/>
      <c r="U8" s="42"/>
      <c r="V8" s="43"/>
      <c r="W8" s="43"/>
      <c r="X8" s="43"/>
      <c r="Y8" s="42"/>
      <c r="AA8" s="42"/>
      <c r="AB8" s="42"/>
      <c r="AC8" s="42"/>
      <c r="AD8" s="42"/>
      <c r="AE8" s="42"/>
    </row>
    <row r="9" spans="1:31" ht="13.8" x14ac:dyDescent="0.25">
      <c r="A9" s="4">
        <v>20148</v>
      </c>
      <c r="B9" s="4" t="s">
        <v>2</v>
      </c>
      <c r="C9" s="4" t="s">
        <v>76</v>
      </c>
      <c r="D9" s="5">
        <v>42753</v>
      </c>
      <c r="E9" s="4">
        <v>3</v>
      </c>
      <c r="F9" s="1">
        <v>7</v>
      </c>
      <c r="G9" s="8">
        <v>133032</v>
      </c>
      <c r="H9" s="1" t="str">
        <f>VLOOKUP(E9,'נתוני עזר'!$B$4:$C$7,2,FALSE)</f>
        <v>צ'קים</v>
      </c>
      <c r="I9" s="15">
        <f t="shared" si="0"/>
        <v>9312.2400000000016</v>
      </c>
      <c r="J9" s="16">
        <f t="shared" si="1"/>
        <v>34366.6</v>
      </c>
      <c r="K9" s="16">
        <v>3.5</v>
      </c>
      <c r="L9" s="16">
        <v>369382.71428571426</v>
      </c>
      <c r="P9" s="1">
        <f t="shared" si="2"/>
        <v>2017</v>
      </c>
      <c r="R9" s="17"/>
      <c r="S9" s="53"/>
      <c r="T9" s="42"/>
      <c r="U9" s="42"/>
      <c r="V9" s="43"/>
      <c r="W9" s="43"/>
      <c r="X9" s="43"/>
      <c r="Y9" s="42"/>
      <c r="AA9" s="42"/>
      <c r="AB9" s="42"/>
      <c r="AC9" s="42"/>
      <c r="AD9" s="42"/>
      <c r="AE9" s="42"/>
    </row>
    <row r="10" spans="1:31" ht="13.8" x14ac:dyDescent="0.25">
      <c r="A10" s="4">
        <v>20119</v>
      </c>
      <c r="B10" s="4" t="s">
        <v>11</v>
      </c>
      <c r="C10" s="4" t="s">
        <v>73</v>
      </c>
      <c r="D10" s="5">
        <v>39352</v>
      </c>
      <c r="E10" s="4">
        <v>4</v>
      </c>
      <c r="F10" s="1">
        <v>4</v>
      </c>
      <c r="G10" s="8">
        <v>138877</v>
      </c>
      <c r="H10" s="1" t="str">
        <f>VLOOKUP(E10,'נתוני עזר'!$B$4:$C$7,2,FALSE)</f>
        <v>מס"ב</v>
      </c>
      <c r="I10" s="15">
        <f t="shared" si="0"/>
        <v>9721.3900000000012</v>
      </c>
      <c r="J10" s="16">
        <f t="shared" si="1"/>
        <v>35876.558333333334</v>
      </c>
      <c r="K10" s="16">
        <v>3.6</v>
      </c>
      <c r="L10" s="16">
        <v>359122.08333333326</v>
      </c>
      <c r="P10" s="1">
        <f t="shared" si="2"/>
        <v>2007</v>
      </c>
      <c r="R10" s="17">
        <v>2014</v>
      </c>
      <c r="S10" s="54">
        <v>0.09</v>
      </c>
      <c r="T10" s="42"/>
      <c r="U10" s="42"/>
      <c r="V10" s="43"/>
      <c r="W10" s="43"/>
      <c r="X10" s="43"/>
      <c r="Y10" s="42"/>
      <c r="AA10" s="42"/>
      <c r="AB10" s="42"/>
      <c r="AC10" s="42"/>
      <c r="AD10" s="42"/>
      <c r="AE10" s="42"/>
    </row>
    <row r="11" spans="1:31" ht="28.2" x14ac:dyDescent="0.5">
      <c r="A11" s="4">
        <v>20153</v>
      </c>
      <c r="B11" s="4" t="s">
        <v>7</v>
      </c>
      <c r="C11" s="4" t="s">
        <v>74</v>
      </c>
      <c r="D11" s="5">
        <v>39411</v>
      </c>
      <c r="E11" s="4">
        <v>2</v>
      </c>
      <c r="F11" s="1">
        <v>1</v>
      </c>
      <c r="G11" s="8">
        <v>178982</v>
      </c>
      <c r="H11" s="1" t="str">
        <f>VLOOKUP(E11,'נתוני עזר'!$B$4:$C$7,2,FALSE)</f>
        <v>מזומן</v>
      </c>
      <c r="I11" s="15">
        <f t="shared" si="0"/>
        <v>12528.740000000002</v>
      </c>
      <c r="J11" s="16">
        <f t="shared" si="1"/>
        <v>46237.01666666667</v>
      </c>
      <c r="K11" s="16">
        <v>3.7</v>
      </c>
      <c r="L11" s="16">
        <v>349416.08108108107</v>
      </c>
      <c r="P11" s="1">
        <f t="shared" si="2"/>
        <v>2007</v>
      </c>
      <c r="R11" s="17"/>
      <c r="S11" s="53"/>
      <c r="T11" s="42"/>
      <c r="U11" s="42"/>
      <c r="V11" s="57"/>
      <c r="W11" s="43"/>
      <c r="X11" s="43"/>
      <c r="Y11" s="42"/>
      <c r="AA11" s="42"/>
      <c r="AB11" s="42"/>
      <c r="AC11" s="42"/>
      <c r="AD11" s="42"/>
      <c r="AE11" s="42"/>
    </row>
    <row r="12" spans="1:31" ht="13.8" x14ac:dyDescent="0.25">
      <c r="A12" s="4">
        <v>20139</v>
      </c>
      <c r="B12" s="4" t="s">
        <v>5</v>
      </c>
      <c r="C12" s="4" t="s">
        <v>70</v>
      </c>
      <c r="D12" s="5">
        <v>40146</v>
      </c>
      <c r="E12" s="4">
        <v>2</v>
      </c>
      <c r="F12" s="1">
        <v>2</v>
      </c>
      <c r="G12" s="8">
        <v>102615</v>
      </c>
      <c r="H12" s="1" t="str">
        <f>VLOOKUP(E12,'נתוני עזר'!$B$4:$C$7,2,FALSE)</f>
        <v>מזומן</v>
      </c>
      <c r="I12" s="15">
        <f t="shared" si="0"/>
        <v>6156.9</v>
      </c>
      <c r="J12" s="16">
        <f t="shared" si="1"/>
        <v>26793.916666666668</v>
      </c>
      <c r="K12" s="16">
        <v>3.8</v>
      </c>
      <c r="L12" s="16">
        <v>340220.92105263163</v>
      </c>
      <c r="P12" s="1">
        <f t="shared" si="2"/>
        <v>2009</v>
      </c>
      <c r="R12" s="17">
        <v>2016</v>
      </c>
      <c r="S12" s="54">
        <v>0.04</v>
      </c>
      <c r="T12" s="42"/>
      <c r="U12" s="42"/>
      <c r="V12" s="43"/>
      <c r="W12" s="43"/>
      <c r="X12" s="43"/>
      <c r="Y12" s="42"/>
      <c r="AA12" s="42"/>
      <c r="AB12" s="42"/>
      <c r="AC12" s="42"/>
      <c r="AD12" s="42"/>
      <c r="AE12" s="42"/>
    </row>
    <row r="13" spans="1:31" ht="13.8" x14ac:dyDescent="0.25">
      <c r="A13" s="4">
        <v>20131</v>
      </c>
      <c r="B13" s="4" t="s">
        <v>31</v>
      </c>
      <c r="C13" s="4" t="s">
        <v>75</v>
      </c>
      <c r="D13" s="5">
        <v>39878</v>
      </c>
      <c r="E13" s="4">
        <v>2</v>
      </c>
      <c r="F13" s="1">
        <v>3</v>
      </c>
      <c r="G13" s="8">
        <v>58896</v>
      </c>
      <c r="H13" s="1" t="str">
        <f>VLOOKUP(E13,'נתוני עזר'!$B$4:$C$7,2,FALSE)</f>
        <v>מזומן</v>
      </c>
      <c r="I13" s="15">
        <f t="shared" si="0"/>
        <v>3533.7599999999998</v>
      </c>
      <c r="J13" s="16">
        <f t="shared" si="1"/>
        <v>15378.4</v>
      </c>
      <c r="K13" s="16"/>
      <c r="L13" s="16"/>
      <c r="O13" s="42"/>
      <c r="P13" s="1">
        <f t="shared" si="2"/>
        <v>2009</v>
      </c>
      <c r="R13" s="17"/>
      <c r="S13" s="53"/>
      <c r="T13" s="42"/>
      <c r="U13" s="42"/>
      <c r="V13" s="42"/>
      <c r="W13" s="42"/>
      <c r="X13" s="42"/>
      <c r="Y13" s="42"/>
      <c r="AA13" s="42"/>
      <c r="AB13" s="42"/>
      <c r="AC13" s="42"/>
      <c r="AD13" s="42"/>
      <c r="AE13" s="42"/>
    </row>
    <row r="14" spans="1:31" ht="13.8" x14ac:dyDescent="0.25">
      <c r="A14" s="4">
        <v>20100</v>
      </c>
      <c r="B14" s="4" t="s">
        <v>12</v>
      </c>
      <c r="C14" s="4" t="s">
        <v>68</v>
      </c>
      <c r="D14" s="5">
        <v>40943</v>
      </c>
      <c r="E14" s="4">
        <v>4</v>
      </c>
      <c r="F14" s="1">
        <v>8</v>
      </c>
      <c r="G14" s="8">
        <v>115845</v>
      </c>
      <c r="H14" s="1" t="str">
        <f>VLOOKUP(E14,'נתוני עזר'!$B$4:$C$7,2,FALSE)</f>
        <v>מס"ב</v>
      </c>
      <c r="I14" s="15">
        <f t="shared" si="0"/>
        <v>9267.6</v>
      </c>
      <c r="J14" s="16">
        <f t="shared" si="1"/>
        <v>29604.833333333332</v>
      </c>
      <c r="K14" s="16"/>
      <c r="L14" s="16"/>
      <c r="N14" s="59" t="s">
        <v>125</v>
      </c>
      <c r="O14" s="59"/>
      <c r="P14" s="1">
        <f t="shared" si="2"/>
        <v>2012</v>
      </c>
      <c r="R14" s="47">
        <v>2018</v>
      </c>
      <c r="S14" s="55">
        <v>7.0000000000000007E-2</v>
      </c>
      <c r="T14" s="42"/>
      <c r="U14" s="42"/>
      <c r="V14" s="42"/>
      <c r="W14" s="42"/>
      <c r="X14" s="42"/>
      <c r="Y14" s="42"/>
      <c r="AA14" s="42"/>
      <c r="AB14" s="42"/>
      <c r="AC14" s="42"/>
      <c r="AD14" s="42"/>
      <c r="AE14" s="42"/>
    </row>
    <row r="15" spans="1:31" ht="13.8" x14ac:dyDescent="0.25">
      <c r="A15" s="4">
        <v>20101</v>
      </c>
      <c r="B15" s="4" t="s">
        <v>21</v>
      </c>
      <c r="C15" s="4" t="s">
        <v>71</v>
      </c>
      <c r="D15" s="5">
        <v>42109</v>
      </c>
      <c r="E15" s="4">
        <v>1</v>
      </c>
      <c r="F15" s="1">
        <v>3</v>
      </c>
      <c r="G15" s="8">
        <v>92458</v>
      </c>
      <c r="H15" s="1" t="str">
        <f>VLOOKUP(E15,'נתוני עזר'!$B$4:$C$7,2,FALSE)</f>
        <v>העברה בנקאית</v>
      </c>
      <c r="I15" s="15">
        <f t="shared" si="0"/>
        <v>3698.32</v>
      </c>
      <c r="J15" s="16">
        <f t="shared" si="1"/>
        <v>24655.466666666664</v>
      </c>
      <c r="K15" s="16"/>
      <c r="L15" s="16"/>
      <c r="N15" s="60"/>
      <c r="O15" s="61">
        <f>DSUM(A1:J65,J1,L24:M26)</f>
        <v>359122.08333333326</v>
      </c>
      <c r="P15" s="1">
        <f t="shared" si="2"/>
        <v>2015</v>
      </c>
      <c r="R15" s="42"/>
      <c r="S15" s="42"/>
      <c r="T15" s="42"/>
      <c r="U15" s="43"/>
      <c r="V15" s="43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1" ht="13.8" x14ac:dyDescent="0.25">
      <c r="A16" s="4">
        <v>20102</v>
      </c>
      <c r="B16" s="4" t="s">
        <v>13</v>
      </c>
      <c r="C16" s="4" t="s">
        <v>75</v>
      </c>
      <c r="D16" s="5">
        <v>40302</v>
      </c>
      <c r="E16" s="4">
        <v>4</v>
      </c>
      <c r="F16" s="1">
        <v>1</v>
      </c>
      <c r="G16" s="8">
        <v>143215</v>
      </c>
      <c r="H16" s="1" t="str">
        <f>VLOOKUP(E16,'נתוני עזר'!$B$4:$C$7,2,FALSE)</f>
        <v>מס"ב</v>
      </c>
      <c r="I16" s="15">
        <f t="shared" si="0"/>
        <v>8592.9</v>
      </c>
      <c r="J16" s="16">
        <f t="shared" si="1"/>
        <v>37395.027777777781</v>
      </c>
      <c r="K16" s="16"/>
      <c r="L16" s="16" t="s">
        <v>122</v>
      </c>
      <c r="O16" s="44"/>
      <c r="P16" s="1">
        <f t="shared" si="2"/>
        <v>2010</v>
      </c>
      <c r="R16" s="42"/>
      <c r="S16" s="42"/>
      <c r="T16" s="42"/>
      <c r="U16" s="43"/>
      <c r="V16" s="43"/>
      <c r="W16" s="42"/>
      <c r="X16" s="42"/>
      <c r="Y16" s="42"/>
      <c r="Z16" s="42"/>
      <c r="AA16" s="42"/>
      <c r="AB16" s="42"/>
      <c r="AC16" s="42"/>
      <c r="AD16" s="42"/>
      <c r="AE16" s="42"/>
    </row>
    <row r="17" spans="1:31" ht="13.8" x14ac:dyDescent="0.25">
      <c r="A17" s="4">
        <v>20126</v>
      </c>
      <c r="B17" s="4" t="s">
        <v>1</v>
      </c>
      <c r="C17" s="4" t="s">
        <v>76</v>
      </c>
      <c r="D17" s="5">
        <v>41212</v>
      </c>
      <c r="E17" s="4">
        <v>4</v>
      </c>
      <c r="F17" s="1">
        <v>4</v>
      </c>
      <c r="G17" s="8">
        <v>78785</v>
      </c>
      <c r="H17" s="1" t="str">
        <f>VLOOKUP(E17,'נתוני עזר'!$B$4:$C$7,2,FALSE)</f>
        <v>מס"ב</v>
      </c>
      <c r="I17" s="15">
        <f t="shared" si="0"/>
        <v>6302.8</v>
      </c>
      <c r="J17" s="16">
        <f t="shared" si="1"/>
        <v>20133.944444444442</v>
      </c>
      <c r="K17" s="16"/>
      <c r="L17" s="16">
        <v>3.6</v>
      </c>
      <c r="O17" s="42"/>
      <c r="P17" s="1">
        <f t="shared" si="2"/>
        <v>2012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pans="1:31" ht="13.8" x14ac:dyDescent="0.25">
      <c r="A18" s="4">
        <v>20154</v>
      </c>
      <c r="B18" s="4" t="s">
        <v>18</v>
      </c>
      <c r="C18" s="4" t="s">
        <v>73</v>
      </c>
      <c r="D18" s="5">
        <v>41053</v>
      </c>
      <c r="E18" s="4">
        <v>3</v>
      </c>
      <c r="F18" s="1">
        <v>2</v>
      </c>
      <c r="G18" s="8">
        <v>134373</v>
      </c>
      <c r="H18" s="1" t="str">
        <f>VLOOKUP(E18,'נתוני עזר'!$B$4:$C$7,2,FALSE)</f>
        <v>צ'קים</v>
      </c>
      <c r="I18" s="15">
        <f t="shared" si="0"/>
        <v>10749.84</v>
      </c>
      <c r="J18" s="16">
        <f t="shared" si="1"/>
        <v>34339.76666666667</v>
      </c>
      <c r="K18" s="16"/>
      <c r="L18" s="16"/>
      <c r="O18" s="42"/>
      <c r="P18" s="1">
        <f t="shared" si="2"/>
        <v>2012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</row>
    <row r="19" spans="1:31" ht="13.8" x14ac:dyDescent="0.25">
      <c r="A19" s="4">
        <v>20128</v>
      </c>
      <c r="B19" s="4" t="s">
        <v>28</v>
      </c>
      <c r="C19" s="4" t="s">
        <v>68</v>
      </c>
      <c r="D19" s="5">
        <v>42769</v>
      </c>
      <c r="E19" s="4">
        <v>3</v>
      </c>
      <c r="F19" s="1">
        <v>5</v>
      </c>
      <c r="G19" s="8">
        <v>126383</v>
      </c>
      <c r="H19" s="1" t="str">
        <f>VLOOKUP(E19,'נתוני עזר'!$B$4:$C$7,2,FALSE)</f>
        <v>צ'קים</v>
      </c>
      <c r="I19" s="15">
        <f t="shared" si="0"/>
        <v>8846.8100000000013</v>
      </c>
      <c r="J19" s="16">
        <f t="shared" si="1"/>
        <v>32648.941666666666</v>
      </c>
      <c r="K19" s="16"/>
      <c r="L19" s="16"/>
      <c r="O19" s="42"/>
      <c r="P19" s="1">
        <f t="shared" si="2"/>
        <v>2017</v>
      </c>
      <c r="R19" s="42"/>
      <c r="S19" s="42"/>
      <c r="T19" s="42"/>
      <c r="U19" s="43"/>
      <c r="V19" s="43"/>
      <c r="W19" s="42"/>
      <c r="X19" s="42"/>
      <c r="Y19" s="42"/>
      <c r="Z19" s="42"/>
      <c r="AA19" s="42"/>
      <c r="AB19" s="42"/>
      <c r="AC19" s="42"/>
      <c r="AD19" s="42"/>
    </row>
    <row r="20" spans="1:31" ht="13.8" x14ac:dyDescent="0.25">
      <c r="A20" s="4">
        <v>20120</v>
      </c>
      <c r="B20" s="4" t="s">
        <v>20</v>
      </c>
      <c r="C20" s="4" t="s">
        <v>68</v>
      </c>
      <c r="D20" s="5">
        <v>41949</v>
      </c>
      <c r="E20" s="4">
        <v>2</v>
      </c>
      <c r="F20" s="1">
        <v>5</v>
      </c>
      <c r="G20" s="8">
        <v>89915</v>
      </c>
      <c r="H20" s="1" t="str">
        <f>VLOOKUP(E20,'נתוני עזר'!$B$4:$C$7,2,FALSE)</f>
        <v>מזומן</v>
      </c>
      <c r="I20" s="15">
        <f t="shared" si="0"/>
        <v>8092.3499999999995</v>
      </c>
      <c r="J20" s="16">
        <f t="shared" si="1"/>
        <v>22728.513888888887</v>
      </c>
      <c r="K20" s="16"/>
      <c r="L20" s="16"/>
      <c r="O20" s="42"/>
      <c r="P20" s="1">
        <f t="shared" si="2"/>
        <v>2014</v>
      </c>
      <c r="R20" s="42"/>
      <c r="S20" s="48"/>
      <c r="T20" s="42"/>
      <c r="U20" s="42"/>
      <c r="V20" s="43"/>
      <c r="W20" s="43"/>
      <c r="X20" s="43"/>
      <c r="Y20" s="42"/>
      <c r="Z20" s="42"/>
      <c r="AA20" s="42"/>
      <c r="AB20" s="42"/>
      <c r="AC20" s="42"/>
      <c r="AD20" s="42"/>
    </row>
    <row r="21" spans="1:31" ht="13.8" x14ac:dyDescent="0.25">
      <c r="A21" s="4">
        <v>20149</v>
      </c>
      <c r="B21" s="4" t="s">
        <v>23</v>
      </c>
      <c r="C21" s="4" t="s">
        <v>77</v>
      </c>
      <c r="D21" s="5">
        <v>40200</v>
      </c>
      <c r="E21" s="4">
        <v>4</v>
      </c>
      <c r="F21" s="1">
        <v>3</v>
      </c>
      <c r="G21" s="8">
        <v>55426</v>
      </c>
      <c r="H21" s="1" t="str">
        <f>VLOOKUP(E21,'נתוני עזר'!$B$4:$C$7,2,FALSE)</f>
        <v>מס"ב</v>
      </c>
      <c r="I21" s="15">
        <f t="shared" si="0"/>
        <v>3325.56</v>
      </c>
      <c r="J21" s="16">
        <f t="shared" si="1"/>
        <v>14472.344444444445</v>
      </c>
      <c r="K21" s="16"/>
      <c r="L21" s="16"/>
      <c r="O21" s="42"/>
      <c r="P21" s="1">
        <f t="shared" si="2"/>
        <v>2010</v>
      </c>
      <c r="R21" s="42"/>
      <c r="S21" s="48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1" ht="13.8" x14ac:dyDescent="0.25">
      <c r="A22" s="4">
        <v>20112</v>
      </c>
      <c r="B22" s="4" t="s">
        <v>30</v>
      </c>
      <c r="C22" s="4" t="s">
        <v>72</v>
      </c>
      <c r="D22" s="5">
        <v>39997</v>
      </c>
      <c r="E22" s="4">
        <v>1</v>
      </c>
      <c r="F22" s="1">
        <v>10</v>
      </c>
      <c r="G22" s="8">
        <v>146318</v>
      </c>
      <c r="H22" s="1" t="str">
        <f>VLOOKUP(E22,'נתוני עזר'!$B$4:$C$7,2,FALSE)</f>
        <v>העברה בנקאית</v>
      </c>
      <c r="I22" s="15">
        <f t="shared" si="0"/>
        <v>8779.08</v>
      </c>
      <c r="J22" s="16">
        <f t="shared" si="1"/>
        <v>38205.255555555559</v>
      </c>
      <c r="K22" s="16"/>
      <c r="L22" s="16"/>
      <c r="O22" s="42"/>
      <c r="P22" s="1">
        <f t="shared" si="2"/>
        <v>2009</v>
      </c>
      <c r="R22" s="42"/>
      <c r="S22" s="48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1" ht="13.8" x14ac:dyDescent="0.25">
      <c r="A23" s="4">
        <v>20113</v>
      </c>
      <c r="B23" s="4" t="s">
        <v>25</v>
      </c>
      <c r="C23" s="4" t="s">
        <v>73</v>
      </c>
      <c r="D23" s="5">
        <v>40360</v>
      </c>
      <c r="E23" s="4">
        <v>4</v>
      </c>
      <c r="F23" s="1">
        <v>5</v>
      </c>
      <c r="G23" s="8">
        <v>89582</v>
      </c>
      <c r="H23" s="1" t="str">
        <f>VLOOKUP(E23,'נתוני עזר'!$B$4:$C$7,2,FALSE)</f>
        <v>מס"ב</v>
      </c>
      <c r="I23" s="15">
        <f t="shared" si="0"/>
        <v>5374.92</v>
      </c>
      <c r="J23" s="16">
        <f t="shared" si="1"/>
        <v>23390.855555555554</v>
      </c>
      <c r="K23" s="16"/>
      <c r="L23" s="58" t="s">
        <v>124</v>
      </c>
      <c r="M23" s="58"/>
      <c r="O23" s="42"/>
      <c r="P23" s="1">
        <f t="shared" si="2"/>
        <v>2010</v>
      </c>
      <c r="R23" s="42"/>
      <c r="S23" s="48"/>
      <c r="T23" s="42"/>
      <c r="U23" s="42"/>
      <c r="V23" s="42"/>
      <c r="W23" s="42"/>
      <c r="X23" s="43"/>
      <c r="Y23" s="43"/>
      <c r="Z23" s="42"/>
      <c r="AA23" s="42"/>
      <c r="AB23" s="42"/>
      <c r="AC23" s="42"/>
      <c r="AD23" s="42"/>
    </row>
    <row r="24" spans="1:31" ht="26.4" x14ac:dyDescent="0.25">
      <c r="A24" s="4">
        <v>20140</v>
      </c>
      <c r="B24" s="4" t="s">
        <v>16</v>
      </c>
      <c r="C24" s="4" t="s">
        <v>71</v>
      </c>
      <c r="D24" s="5">
        <v>41293</v>
      </c>
      <c r="E24" s="4">
        <v>4</v>
      </c>
      <c r="F24" s="1">
        <v>6</v>
      </c>
      <c r="G24" s="8">
        <v>76295</v>
      </c>
      <c r="H24" s="1" t="str">
        <f>VLOOKUP(E24,'נתוני עזר'!$B$4:$C$7,2,FALSE)</f>
        <v>מס"ב</v>
      </c>
      <c r="I24" s="15">
        <f t="shared" si="0"/>
        <v>6866.55</v>
      </c>
      <c r="J24" s="16">
        <f t="shared" si="1"/>
        <v>19285.680555555555</v>
      </c>
      <c r="K24" s="16"/>
      <c r="L24" s="6" t="s">
        <v>86</v>
      </c>
      <c r="M24" s="7" t="s">
        <v>123</v>
      </c>
      <c r="N24" s="7"/>
      <c r="O24" s="42"/>
      <c r="P24" s="1">
        <f t="shared" si="2"/>
        <v>2013</v>
      </c>
      <c r="R24" s="42"/>
      <c r="S24" s="48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1" ht="13.8" x14ac:dyDescent="0.25">
      <c r="A25" s="4">
        <v>20121</v>
      </c>
      <c r="B25" s="4" t="s">
        <v>6</v>
      </c>
      <c r="C25" s="4" t="s">
        <v>70</v>
      </c>
      <c r="D25" s="5">
        <v>39248</v>
      </c>
      <c r="E25" s="4">
        <v>1</v>
      </c>
      <c r="F25" s="1">
        <v>10</v>
      </c>
      <c r="G25" s="8">
        <v>71037</v>
      </c>
      <c r="H25" s="1" t="str">
        <f>VLOOKUP(E25,'נתוני עזר'!$B$4:$C$7,2,FALSE)</f>
        <v>העברה בנקאית</v>
      </c>
      <c r="I25" s="15">
        <f t="shared" si="0"/>
        <v>4972.59</v>
      </c>
      <c r="J25" s="16">
        <f t="shared" si="1"/>
        <v>18351.225000000002</v>
      </c>
      <c r="K25" s="16"/>
      <c r="L25" s="4" t="s">
        <v>68</v>
      </c>
      <c r="M25" s="1">
        <v>2007</v>
      </c>
      <c r="O25" s="42"/>
      <c r="P25" s="1">
        <f t="shared" si="2"/>
        <v>2007</v>
      </c>
      <c r="R25" s="42"/>
      <c r="S25" s="48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spans="1:31" ht="13.8" x14ac:dyDescent="0.25">
      <c r="A26" s="4">
        <v>20155</v>
      </c>
      <c r="B26" s="4" t="s">
        <v>10</v>
      </c>
      <c r="C26" s="4" t="s">
        <v>76</v>
      </c>
      <c r="D26" s="5">
        <v>41402</v>
      </c>
      <c r="E26" s="4">
        <v>4</v>
      </c>
      <c r="F26" s="1">
        <v>2</v>
      </c>
      <c r="G26" s="8">
        <v>100268</v>
      </c>
      <c r="H26" s="1" t="str">
        <f>VLOOKUP(E26,'נתוני עזר'!$B$4:$C$7,2,FALSE)</f>
        <v>מס"ב</v>
      </c>
      <c r="I26" s="15">
        <f t="shared" si="0"/>
        <v>9024.119999999999</v>
      </c>
      <c r="J26" s="16">
        <f t="shared" si="1"/>
        <v>25345.522222222222</v>
      </c>
      <c r="K26" s="16"/>
      <c r="L26" s="4" t="s">
        <v>68</v>
      </c>
      <c r="M26" s="1">
        <v>2012</v>
      </c>
      <c r="O26" s="43"/>
      <c r="P26" s="1">
        <f t="shared" si="2"/>
        <v>2013</v>
      </c>
      <c r="R26" s="42"/>
      <c r="S26" s="48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</row>
    <row r="27" spans="1:31" ht="13.8" x14ac:dyDescent="0.25">
      <c r="A27" s="4">
        <v>20141</v>
      </c>
      <c r="B27" s="4" t="s">
        <v>27</v>
      </c>
      <c r="C27" s="4" t="s">
        <v>76</v>
      </c>
      <c r="D27" s="5">
        <v>42837</v>
      </c>
      <c r="E27" s="4">
        <v>3</v>
      </c>
      <c r="F27" s="1">
        <v>8</v>
      </c>
      <c r="G27" s="8">
        <v>174120</v>
      </c>
      <c r="H27" s="1" t="str">
        <f>VLOOKUP(E27,'נתוני עזר'!$B$4:$C$7,2,FALSE)</f>
        <v>צ'קים</v>
      </c>
      <c r="I27" s="15">
        <f t="shared" si="0"/>
        <v>12188.400000000001</v>
      </c>
      <c r="J27" s="16">
        <f t="shared" si="1"/>
        <v>44981</v>
      </c>
      <c r="K27" s="16"/>
      <c r="L27" s="16"/>
      <c r="O27" s="43"/>
      <c r="P27" s="1">
        <f t="shared" si="2"/>
        <v>2017</v>
      </c>
      <c r="R27" s="42"/>
      <c r="S27" s="42"/>
      <c r="T27" s="42"/>
      <c r="U27" s="43"/>
      <c r="V27" s="43"/>
      <c r="W27" s="42"/>
      <c r="X27" s="42"/>
      <c r="Y27" s="42"/>
      <c r="Z27" s="42"/>
      <c r="AA27" s="42"/>
      <c r="AB27" s="42"/>
      <c r="AC27" s="42"/>
      <c r="AD27" s="42"/>
    </row>
    <row r="28" spans="1:31" ht="13.8" x14ac:dyDescent="0.25">
      <c r="A28" s="4">
        <v>20124</v>
      </c>
      <c r="B28" s="4" t="s">
        <v>26</v>
      </c>
      <c r="C28" s="4" t="s">
        <v>74</v>
      </c>
      <c r="D28" s="5">
        <v>39693</v>
      </c>
      <c r="E28" s="4">
        <v>2</v>
      </c>
      <c r="F28" s="1">
        <v>9</v>
      </c>
      <c r="G28" s="8">
        <v>151094</v>
      </c>
      <c r="H28" s="1" t="str">
        <f>VLOOKUP(E28,'נתוני עזר'!$B$4:$C$7,2,FALSE)</f>
        <v>מזומן</v>
      </c>
      <c r="I28" s="15">
        <f t="shared" si="0"/>
        <v>10576.580000000002</v>
      </c>
      <c r="J28" s="16">
        <f t="shared" si="1"/>
        <v>39032.616666666661</v>
      </c>
      <c r="K28" s="16"/>
      <c r="L28" s="16"/>
      <c r="O28" s="45"/>
      <c r="P28" s="1">
        <f t="shared" si="2"/>
        <v>2008</v>
      </c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</row>
    <row r="29" spans="1:31" ht="13.8" x14ac:dyDescent="0.25">
      <c r="A29" s="4">
        <v>20105</v>
      </c>
      <c r="B29" s="4" t="s">
        <v>66</v>
      </c>
      <c r="C29" s="4" t="s">
        <v>79</v>
      </c>
      <c r="D29" s="5">
        <v>42145</v>
      </c>
      <c r="E29" s="4">
        <v>3</v>
      </c>
      <c r="F29" s="1">
        <v>9</v>
      </c>
      <c r="G29" s="8">
        <v>80471</v>
      </c>
      <c r="H29" s="1" t="str">
        <f>VLOOKUP(E29,'נתוני עזר'!$B$4:$C$7,2,FALSE)</f>
        <v>צ'קים</v>
      </c>
      <c r="I29" s="15">
        <f t="shared" si="0"/>
        <v>3218.84</v>
      </c>
      <c r="J29" s="16">
        <f t="shared" si="1"/>
        <v>21458.933333333334</v>
      </c>
      <c r="K29" s="16"/>
      <c r="L29" s="16"/>
      <c r="O29" s="45"/>
      <c r="P29" s="1">
        <f t="shared" si="2"/>
        <v>2015</v>
      </c>
      <c r="R29" s="43"/>
      <c r="S29" s="43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</row>
    <row r="30" spans="1:31" ht="13.8" x14ac:dyDescent="0.25">
      <c r="A30" s="4">
        <v>20142</v>
      </c>
      <c r="B30" s="4" t="s">
        <v>45</v>
      </c>
      <c r="C30" s="4" t="s">
        <v>78</v>
      </c>
      <c r="D30" s="5">
        <v>41870</v>
      </c>
      <c r="E30" s="4">
        <v>5</v>
      </c>
      <c r="F30" s="1">
        <v>10</v>
      </c>
      <c r="G30" s="8">
        <v>192182</v>
      </c>
      <c r="H30" s="1" t="e">
        <f>VLOOKUP(E30,'נתוני עזר'!$B$4:$C$7,2,FALSE)</f>
        <v>#N/A</v>
      </c>
      <c r="I30" s="15">
        <f t="shared" si="0"/>
        <v>17296.38</v>
      </c>
      <c r="J30" s="16">
        <f t="shared" si="1"/>
        <v>48579.338888888888</v>
      </c>
      <c r="K30" s="16"/>
      <c r="L30" s="16"/>
      <c r="O30" s="45"/>
      <c r="P30" s="1">
        <f t="shared" si="2"/>
        <v>2014</v>
      </c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</row>
    <row r="31" spans="1:31" ht="13.8" x14ac:dyDescent="0.25">
      <c r="A31" s="4">
        <v>20115</v>
      </c>
      <c r="B31" s="4" t="s">
        <v>8</v>
      </c>
      <c r="C31" s="4" t="s">
        <v>68</v>
      </c>
      <c r="D31" s="5">
        <v>41844</v>
      </c>
      <c r="E31" s="4">
        <v>1</v>
      </c>
      <c r="F31" s="1">
        <v>2</v>
      </c>
      <c r="G31" s="8">
        <v>163171</v>
      </c>
      <c r="H31" s="1" t="str">
        <f>VLOOKUP(E31,'נתוני עזר'!$B$4:$C$7,2,FALSE)</f>
        <v>העברה בנקאית</v>
      </c>
      <c r="I31" s="15">
        <f t="shared" si="0"/>
        <v>14685.39</v>
      </c>
      <c r="J31" s="16">
        <f t="shared" si="1"/>
        <v>41246.002777777772</v>
      </c>
      <c r="K31" s="16"/>
      <c r="L31" s="16"/>
      <c r="O31" s="45"/>
      <c r="P31" s="1">
        <f t="shared" si="2"/>
        <v>2014</v>
      </c>
      <c r="R31" s="42"/>
      <c r="S31" s="42"/>
      <c r="T31" s="42"/>
      <c r="U31" s="42"/>
      <c r="V31" s="42"/>
      <c r="W31" s="43"/>
      <c r="X31" s="49"/>
      <c r="Y31" s="42"/>
      <c r="Z31" s="42"/>
      <c r="AA31" s="42"/>
      <c r="AB31" s="42"/>
      <c r="AC31" s="42"/>
      <c r="AD31" s="42"/>
    </row>
    <row r="32" spans="1:31" ht="13.8" x14ac:dyDescent="0.25">
      <c r="A32" s="4">
        <v>20108</v>
      </c>
      <c r="B32" s="4" t="s">
        <v>15</v>
      </c>
      <c r="C32" s="4" t="s">
        <v>77</v>
      </c>
      <c r="D32" s="5">
        <v>41274</v>
      </c>
      <c r="E32" s="4">
        <v>4</v>
      </c>
      <c r="F32" s="1">
        <v>3</v>
      </c>
      <c r="G32" s="8">
        <v>135523</v>
      </c>
      <c r="H32" s="1" t="str">
        <f>VLOOKUP(E32,'נתוני עזר'!$B$4:$C$7,2,FALSE)</f>
        <v>מס"ב</v>
      </c>
      <c r="I32" s="15">
        <f t="shared" si="0"/>
        <v>10841.84</v>
      </c>
      <c r="J32" s="16">
        <f t="shared" si="1"/>
        <v>34633.655555555553</v>
      </c>
      <c r="K32" s="16"/>
      <c r="L32" s="16"/>
      <c r="O32" s="45"/>
      <c r="P32" s="1">
        <f t="shared" si="2"/>
        <v>2012</v>
      </c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</row>
    <row r="33" spans="1:30" ht="13.8" x14ac:dyDescent="0.25">
      <c r="A33" s="4">
        <v>20109</v>
      </c>
      <c r="B33" s="4" t="s">
        <v>4</v>
      </c>
      <c r="C33" s="4" t="s">
        <v>78</v>
      </c>
      <c r="D33" s="5">
        <v>43053</v>
      </c>
      <c r="E33" s="4">
        <v>5</v>
      </c>
      <c r="F33" s="1">
        <v>3</v>
      </c>
      <c r="G33" s="8">
        <v>151959</v>
      </c>
      <c r="H33" s="1" t="e">
        <f>VLOOKUP(E33,'נתוני עזר'!$B$4:$C$7,2,FALSE)</f>
        <v>#N/A</v>
      </c>
      <c r="I33" s="15">
        <f t="shared" si="0"/>
        <v>10637.130000000001</v>
      </c>
      <c r="J33" s="16">
        <f t="shared" si="1"/>
        <v>39256.074999999997</v>
      </c>
      <c r="K33" s="16"/>
      <c r="L33" s="16"/>
      <c r="O33" s="45"/>
      <c r="P33" s="1">
        <f t="shared" si="2"/>
        <v>2017</v>
      </c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</row>
    <row r="34" spans="1:30" ht="13.8" x14ac:dyDescent="0.25">
      <c r="A34" s="4">
        <v>20110</v>
      </c>
      <c r="B34" s="4" t="s">
        <v>17</v>
      </c>
      <c r="C34" s="4" t="s">
        <v>69</v>
      </c>
      <c r="D34" s="5">
        <v>39899</v>
      </c>
      <c r="E34" s="4">
        <v>4</v>
      </c>
      <c r="F34" s="1">
        <v>3</v>
      </c>
      <c r="G34" s="8">
        <v>198056</v>
      </c>
      <c r="H34" s="1" t="str">
        <f>VLOOKUP(E34,'נתוני עזר'!$B$4:$C$7,2,FALSE)</f>
        <v>מס"ב</v>
      </c>
      <c r="I34" s="15">
        <f t="shared" si="0"/>
        <v>11883.359999999999</v>
      </c>
      <c r="J34" s="16">
        <f t="shared" si="1"/>
        <v>51714.622222222228</v>
      </c>
      <c r="K34" s="16"/>
      <c r="L34" s="16"/>
      <c r="O34" s="45"/>
      <c r="P34" s="1">
        <f t="shared" si="2"/>
        <v>2009</v>
      </c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</row>
    <row r="35" spans="1:30" ht="13.8" x14ac:dyDescent="0.25">
      <c r="A35" s="4">
        <v>20122</v>
      </c>
      <c r="B35" s="4" t="s">
        <v>32</v>
      </c>
      <c r="C35" s="4" t="s">
        <v>68</v>
      </c>
      <c r="D35" s="5">
        <v>39730</v>
      </c>
      <c r="E35" s="4">
        <v>3</v>
      </c>
      <c r="F35" s="1">
        <v>2</v>
      </c>
      <c r="G35" s="8">
        <v>173625</v>
      </c>
      <c r="H35" s="1" t="str">
        <f>VLOOKUP(E35,'נתוני עזר'!$B$4:$C$7,2,FALSE)</f>
        <v>צ'קים</v>
      </c>
      <c r="I35" s="15">
        <f t="shared" si="0"/>
        <v>12153.750000000002</v>
      </c>
      <c r="J35" s="16">
        <f t="shared" si="1"/>
        <v>44853.125</v>
      </c>
      <c r="K35" s="16"/>
      <c r="L35" s="16"/>
      <c r="O35" s="45"/>
      <c r="P35" s="1">
        <f t="shared" si="2"/>
        <v>2008</v>
      </c>
      <c r="R35" s="43"/>
      <c r="S35" s="43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</row>
    <row r="36" spans="1:30" ht="13.8" x14ac:dyDescent="0.25">
      <c r="A36" s="4">
        <v>20114</v>
      </c>
      <c r="B36" s="4" t="s">
        <v>19</v>
      </c>
      <c r="C36" s="4" t="s">
        <v>68</v>
      </c>
      <c r="D36" s="5">
        <v>42204</v>
      </c>
      <c r="E36" s="4">
        <v>2</v>
      </c>
      <c r="F36" s="1">
        <v>7</v>
      </c>
      <c r="G36" s="8">
        <v>78874</v>
      </c>
      <c r="H36" s="1" t="str">
        <f>VLOOKUP(E36,'נתוני עזר'!$B$4:$C$7,2,FALSE)</f>
        <v>מזומן</v>
      </c>
      <c r="I36" s="15">
        <f t="shared" si="0"/>
        <v>3154.96</v>
      </c>
      <c r="J36" s="16">
        <f t="shared" si="1"/>
        <v>21033.066666666666</v>
      </c>
      <c r="K36" s="16"/>
      <c r="L36" s="16"/>
      <c r="O36" s="45"/>
      <c r="P36" s="1">
        <f t="shared" si="2"/>
        <v>2015</v>
      </c>
      <c r="R36" s="42"/>
      <c r="S36" s="42"/>
      <c r="T36" s="42"/>
      <c r="U36" s="42"/>
      <c r="V36" s="43"/>
      <c r="W36" s="43"/>
      <c r="X36" s="42"/>
      <c r="Y36" s="42"/>
      <c r="Z36" s="42"/>
      <c r="AA36" s="42"/>
      <c r="AB36" s="42"/>
      <c r="AC36" s="42"/>
      <c r="AD36" s="42"/>
    </row>
    <row r="37" spans="1:30" ht="13.8" x14ac:dyDescent="0.25">
      <c r="A37" s="4">
        <v>20156</v>
      </c>
      <c r="B37" s="4" t="s">
        <v>22</v>
      </c>
      <c r="C37" s="4" t="s">
        <v>73</v>
      </c>
      <c r="D37" s="5">
        <v>40991</v>
      </c>
      <c r="E37" s="4">
        <v>2</v>
      </c>
      <c r="F37" s="1">
        <v>1</v>
      </c>
      <c r="G37" s="8">
        <v>110947</v>
      </c>
      <c r="H37" s="1" t="str">
        <f>VLOOKUP(E37,'נתוני עזר'!$B$4:$C$7,2,FALSE)</f>
        <v>מזומן</v>
      </c>
      <c r="I37" s="15">
        <f t="shared" si="0"/>
        <v>8875.76</v>
      </c>
      <c r="J37" s="16">
        <f t="shared" si="1"/>
        <v>28353.122222222224</v>
      </c>
      <c r="K37" s="16"/>
      <c r="L37" s="16"/>
      <c r="O37" s="45"/>
      <c r="P37" s="1">
        <f t="shared" si="2"/>
        <v>2012</v>
      </c>
      <c r="R37" s="42"/>
      <c r="S37" s="42"/>
      <c r="T37" s="42"/>
      <c r="U37" s="42"/>
      <c r="V37" s="42"/>
      <c r="W37" s="43"/>
      <c r="X37" s="50"/>
      <c r="Y37" s="42"/>
      <c r="Z37" s="42"/>
      <c r="AA37" s="42"/>
      <c r="AB37" s="42"/>
      <c r="AC37" s="42"/>
      <c r="AD37" s="42"/>
    </row>
    <row r="38" spans="1:30" ht="13.8" x14ac:dyDescent="0.25">
      <c r="A38" s="4">
        <v>20125</v>
      </c>
      <c r="B38" s="4" t="s">
        <v>39</v>
      </c>
      <c r="C38" s="4" t="s">
        <v>80</v>
      </c>
      <c r="D38" s="5">
        <v>38782</v>
      </c>
      <c r="E38" s="4">
        <v>3</v>
      </c>
      <c r="F38" s="1">
        <v>4</v>
      </c>
      <c r="G38" s="8">
        <v>194622</v>
      </c>
      <c r="H38" s="1" t="str">
        <f>VLOOKUP(E38,'נתוני עזר'!$B$4:$C$7,2,FALSE)</f>
        <v>צ'קים</v>
      </c>
      <c r="I38" s="15">
        <f t="shared" si="0"/>
        <v>13623.54</v>
      </c>
      <c r="J38" s="16">
        <f t="shared" si="1"/>
        <v>50277.35</v>
      </c>
      <c r="K38" s="16"/>
      <c r="L38" s="16"/>
      <c r="O38" s="45"/>
      <c r="P38" s="1">
        <f t="shared" si="2"/>
        <v>2006</v>
      </c>
      <c r="R38" s="42"/>
      <c r="S38" s="42"/>
      <c r="T38" s="42"/>
      <c r="U38" s="42"/>
      <c r="V38" s="42"/>
      <c r="W38" s="43"/>
      <c r="X38" s="49"/>
      <c r="Y38" s="42"/>
      <c r="Z38" s="42"/>
      <c r="AA38" s="42"/>
      <c r="AB38" s="42"/>
      <c r="AC38" s="42"/>
      <c r="AD38" s="42"/>
    </row>
    <row r="39" spans="1:30" ht="13.8" x14ac:dyDescent="0.25">
      <c r="A39" s="4">
        <v>20132</v>
      </c>
      <c r="B39" s="4" t="s">
        <v>43</v>
      </c>
      <c r="C39" s="4" t="s">
        <v>78</v>
      </c>
      <c r="D39" s="5">
        <v>40782</v>
      </c>
      <c r="E39" s="4">
        <v>5</v>
      </c>
      <c r="F39" s="1">
        <v>4</v>
      </c>
      <c r="G39" s="8">
        <v>133542</v>
      </c>
      <c r="H39" s="1" t="e">
        <f>VLOOKUP(E39,'נתוני עזר'!$B$4:$C$7,2,FALSE)</f>
        <v>#N/A</v>
      </c>
      <c r="I39" s="15">
        <f t="shared" si="0"/>
        <v>10683.36</v>
      </c>
      <c r="J39" s="16">
        <f t="shared" si="1"/>
        <v>34127.4</v>
      </c>
      <c r="K39" s="16"/>
      <c r="L39" s="16"/>
      <c r="O39" s="45"/>
      <c r="P39" s="1">
        <f t="shared" si="2"/>
        <v>2011</v>
      </c>
      <c r="R39" s="42"/>
      <c r="S39" s="42"/>
      <c r="T39" s="42"/>
      <c r="U39" s="42"/>
      <c r="V39" s="42"/>
      <c r="W39" s="43"/>
      <c r="X39" s="49"/>
      <c r="Y39" s="42"/>
      <c r="Z39" s="42"/>
      <c r="AA39" s="42"/>
      <c r="AB39" s="42"/>
      <c r="AC39" s="42"/>
      <c r="AD39" s="42"/>
    </row>
    <row r="40" spans="1:30" ht="13.8" x14ac:dyDescent="0.25">
      <c r="A40" s="4">
        <v>20133</v>
      </c>
      <c r="B40" s="4" t="s">
        <v>35</v>
      </c>
      <c r="C40" s="4" t="s">
        <v>68</v>
      </c>
      <c r="D40" s="5">
        <v>41646</v>
      </c>
      <c r="E40" s="4">
        <v>3</v>
      </c>
      <c r="F40" s="1">
        <v>10</v>
      </c>
      <c r="G40" s="8">
        <v>75605</v>
      </c>
      <c r="H40" s="1" t="str">
        <f>VLOOKUP(E40,'נתוני עזר'!$B$4:$C$7,2,FALSE)</f>
        <v>צ'קים</v>
      </c>
      <c r="I40" s="15">
        <f t="shared" si="0"/>
        <v>6804.45</v>
      </c>
      <c r="J40" s="16">
        <f t="shared" si="1"/>
        <v>19111.263888888891</v>
      </c>
      <c r="K40" s="16"/>
      <c r="L40" s="16"/>
      <c r="O40" s="45"/>
      <c r="P40" s="1">
        <f t="shared" si="2"/>
        <v>2014</v>
      </c>
      <c r="R40" s="42"/>
      <c r="S40" s="42"/>
      <c r="T40" s="42"/>
      <c r="U40" s="42"/>
      <c r="V40" s="42"/>
      <c r="W40" s="43"/>
      <c r="X40" s="49"/>
      <c r="Y40" s="42"/>
      <c r="Z40" s="42"/>
      <c r="AA40" s="42"/>
      <c r="AB40" s="42"/>
      <c r="AC40" s="42"/>
      <c r="AD40" s="42"/>
    </row>
    <row r="41" spans="1:30" ht="13.8" x14ac:dyDescent="0.25">
      <c r="A41" s="4">
        <v>20123</v>
      </c>
      <c r="B41" s="4" t="s">
        <v>37</v>
      </c>
      <c r="C41" s="4" t="s">
        <v>75</v>
      </c>
      <c r="D41" s="5">
        <v>42394</v>
      </c>
      <c r="E41" s="4">
        <v>4</v>
      </c>
      <c r="F41" s="1">
        <v>5</v>
      </c>
      <c r="G41" s="8">
        <v>165842</v>
      </c>
      <c r="H41" s="1" t="str">
        <f>VLOOKUP(E41,'נתוני עזר'!$B$4:$C$7,2,FALSE)</f>
        <v>מס"ב</v>
      </c>
      <c r="I41" s="15">
        <f t="shared" si="0"/>
        <v>6633.68</v>
      </c>
      <c r="J41" s="16">
        <f t="shared" si="1"/>
        <v>44224.533333333333</v>
      </c>
      <c r="K41" s="16"/>
      <c r="L41" s="16"/>
      <c r="O41" s="46"/>
      <c r="P41" s="1">
        <f t="shared" si="2"/>
        <v>2016</v>
      </c>
      <c r="R41" s="42"/>
      <c r="S41" s="42"/>
      <c r="T41" s="42"/>
      <c r="U41" s="42"/>
      <c r="V41" s="42"/>
      <c r="W41" s="43"/>
      <c r="X41" s="49"/>
      <c r="Y41" s="42"/>
      <c r="Z41" s="42"/>
      <c r="AA41" s="42"/>
      <c r="AB41" s="42"/>
      <c r="AC41" s="42"/>
      <c r="AD41" s="42"/>
    </row>
    <row r="42" spans="1:30" ht="13.8" x14ac:dyDescent="0.25">
      <c r="A42" s="4">
        <v>20150</v>
      </c>
      <c r="B42" s="4" t="s">
        <v>42</v>
      </c>
      <c r="C42" s="4" t="s">
        <v>68</v>
      </c>
      <c r="D42" s="5">
        <v>39651</v>
      </c>
      <c r="E42" s="4">
        <v>1</v>
      </c>
      <c r="F42" s="1">
        <v>1</v>
      </c>
      <c r="G42" s="8">
        <v>67325</v>
      </c>
      <c r="H42" s="1" t="str">
        <f>VLOOKUP(E42,'נתוני עזר'!$B$4:$C$7,2,FALSE)</f>
        <v>העברה בנקאית</v>
      </c>
      <c r="I42" s="15">
        <f t="shared" si="0"/>
        <v>4712.75</v>
      </c>
      <c r="J42" s="16">
        <f t="shared" si="1"/>
        <v>17392.291666666668</v>
      </c>
      <c r="K42" s="16"/>
      <c r="L42" s="16"/>
      <c r="O42" s="46"/>
      <c r="P42" s="1">
        <f t="shared" si="2"/>
        <v>2008</v>
      </c>
      <c r="R42" s="42"/>
      <c r="S42" s="42"/>
      <c r="T42" s="42"/>
      <c r="U42" s="42"/>
      <c r="V42" s="42"/>
      <c r="W42" s="43"/>
      <c r="X42" s="49"/>
      <c r="Y42" s="42"/>
      <c r="Z42" s="42"/>
      <c r="AA42" s="42"/>
      <c r="AB42" s="42"/>
      <c r="AC42" s="42"/>
      <c r="AD42" s="42"/>
    </row>
    <row r="43" spans="1:30" ht="13.8" x14ac:dyDescent="0.25">
      <c r="A43" s="4">
        <v>20127</v>
      </c>
      <c r="B43" s="4" t="s">
        <v>40</v>
      </c>
      <c r="C43" s="4" t="s">
        <v>69</v>
      </c>
      <c r="D43" s="5">
        <v>38857</v>
      </c>
      <c r="E43" s="4">
        <v>3</v>
      </c>
      <c r="F43" s="1">
        <v>6</v>
      </c>
      <c r="G43" s="8">
        <v>128037</v>
      </c>
      <c r="H43" s="1" t="str">
        <f>VLOOKUP(E43,'נתוני עזר'!$B$4:$C$7,2,FALSE)</f>
        <v>צ'קים</v>
      </c>
      <c r="I43" s="15">
        <f t="shared" si="0"/>
        <v>8962.59</v>
      </c>
      <c r="J43" s="16">
        <f t="shared" si="1"/>
        <v>33076.224999999999</v>
      </c>
      <c r="K43" s="16"/>
      <c r="L43" s="16"/>
      <c r="O43" s="46"/>
      <c r="P43" s="1">
        <f t="shared" si="2"/>
        <v>2006</v>
      </c>
      <c r="R43" s="42"/>
      <c r="S43" s="42"/>
      <c r="T43" s="42"/>
      <c r="U43" s="42"/>
      <c r="V43" s="42"/>
      <c r="W43" s="43"/>
      <c r="X43" s="49"/>
      <c r="Y43" s="42"/>
      <c r="Z43" s="42"/>
      <c r="AA43" s="42"/>
      <c r="AB43" s="42"/>
      <c r="AC43" s="42"/>
      <c r="AD43" s="42"/>
    </row>
    <row r="44" spans="1:30" ht="13.8" x14ac:dyDescent="0.25">
      <c r="A44" s="4">
        <v>20111</v>
      </c>
      <c r="B44" s="4" t="s">
        <v>38</v>
      </c>
      <c r="C44" s="4" t="s">
        <v>76</v>
      </c>
      <c r="D44" s="5">
        <v>42187</v>
      </c>
      <c r="E44" s="4">
        <v>1</v>
      </c>
      <c r="F44" s="1">
        <v>1</v>
      </c>
      <c r="G44" s="8">
        <v>183655</v>
      </c>
      <c r="H44" s="1" t="str">
        <f>VLOOKUP(E44,'נתוני עזר'!$B$4:$C$7,2,FALSE)</f>
        <v>העברה בנקאית</v>
      </c>
      <c r="I44" s="15">
        <f t="shared" si="0"/>
        <v>7346.2</v>
      </c>
      <c r="J44" s="16">
        <f t="shared" si="1"/>
        <v>48974.666666666664</v>
      </c>
      <c r="K44" s="16"/>
      <c r="L44" s="16"/>
      <c r="O44" s="46"/>
      <c r="P44" s="1">
        <f t="shared" si="2"/>
        <v>2015</v>
      </c>
      <c r="R44" s="42"/>
      <c r="S44" s="42"/>
      <c r="T44" s="42"/>
      <c r="U44" s="42"/>
      <c r="V44" s="42"/>
      <c r="W44" s="43"/>
      <c r="X44" s="49"/>
      <c r="Y44" s="42"/>
      <c r="Z44" s="42"/>
      <c r="AA44" s="42"/>
      <c r="AB44" s="42"/>
      <c r="AC44" s="42"/>
      <c r="AD44" s="42"/>
    </row>
    <row r="45" spans="1:30" ht="13.8" x14ac:dyDescent="0.25">
      <c r="A45" s="4">
        <v>20151</v>
      </c>
      <c r="B45" s="4" t="s">
        <v>36</v>
      </c>
      <c r="C45" s="4" t="s">
        <v>77</v>
      </c>
      <c r="D45" s="5">
        <v>40368</v>
      </c>
      <c r="E45" s="4">
        <v>1</v>
      </c>
      <c r="F45" s="1">
        <v>7</v>
      </c>
      <c r="G45" s="8">
        <v>69698</v>
      </c>
      <c r="H45" s="1" t="str">
        <f>VLOOKUP(E45,'נתוני עזר'!$B$4:$C$7,2,FALSE)</f>
        <v>העברה בנקאית</v>
      </c>
      <c r="I45" s="15">
        <f t="shared" si="0"/>
        <v>4181.88</v>
      </c>
      <c r="J45" s="16">
        <f t="shared" si="1"/>
        <v>18198.922222222223</v>
      </c>
      <c r="K45" s="16"/>
      <c r="L45" s="16"/>
      <c r="O45" s="46"/>
      <c r="P45" s="1">
        <f t="shared" si="2"/>
        <v>2010</v>
      </c>
      <c r="R45" s="42"/>
      <c r="S45" s="42"/>
      <c r="T45" s="42"/>
      <c r="U45" s="42"/>
      <c r="V45" s="42"/>
      <c r="W45" s="43"/>
      <c r="X45" s="49"/>
      <c r="Y45" s="42"/>
      <c r="Z45" s="42"/>
      <c r="AA45" s="42"/>
      <c r="AB45" s="42"/>
      <c r="AC45" s="42"/>
      <c r="AD45" s="42"/>
    </row>
    <row r="46" spans="1:30" ht="13.8" x14ac:dyDescent="0.25">
      <c r="A46" s="4">
        <v>20152</v>
      </c>
      <c r="B46" s="4" t="s">
        <v>41</v>
      </c>
      <c r="C46" s="4" t="s">
        <v>69</v>
      </c>
      <c r="D46" s="5">
        <v>39430</v>
      </c>
      <c r="E46" s="4">
        <v>3</v>
      </c>
      <c r="F46" s="1">
        <v>9</v>
      </c>
      <c r="G46" s="8">
        <v>157573</v>
      </c>
      <c r="H46" s="1" t="str">
        <f>VLOOKUP(E46,'נתוני עזר'!$B$4:$C$7,2,FALSE)</f>
        <v>צ'קים</v>
      </c>
      <c r="I46" s="15">
        <f t="shared" si="0"/>
        <v>11030.11</v>
      </c>
      <c r="J46" s="16">
        <f t="shared" si="1"/>
        <v>40706.358333333337</v>
      </c>
      <c r="K46" s="16"/>
      <c r="L46" s="16"/>
      <c r="O46" s="46"/>
      <c r="P46" s="1">
        <f t="shared" si="2"/>
        <v>2007</v>
      </c>
      <c r="R46" s="42"/>
      <c r="S46" s="43"/>
      <c r="T46" s="49"/>
      <c r="U46" s="42"/>
      <c r="V46" s="42"/>
      <c r="W46" s="43"/>
      <c r="X46" s="49"/>
      <c r="Y46" s="42"/>
      <c r="Z46" s="42"/>
      <c r="AA46" s="42"/>
      <c r="AB46" s="42"/>
      <c r="AC46" s="42"/>
      <c r="AD46" s="42"/>
    </row>
    <row r="47" spans="1:30" ht="13.8" x14ac:dyDescent="0.25">
      <c r="A47" s="4">
        <v>20134</v>
      </c>
      <c r="B47" s="4" t="s">
        <v>56</v>
      </c>
      <c r="C47" s="4" t="s">
        <v>72</v>
      </c>
      <c r="D47" s="5">
        <v>39708</v>
      </c>
      <c r="E47" s="4">
        <v>3</v>
      </c>
      <c r="F47" s="1">
        <v>1</v>
      </c>
      <c r="G47" s="8">
        <v>79729</v>
      </c>
      <c r="H47" s="1" t="str">
        <f>VLOOKUP(E47,'נתוני עזר'!$B$4:$C$7,2,FALSE)</f>
        <v>צ'קים</v>
      </c>
      <c r="I47" s="15">
        <f t="shared" si="0"/>
        <v>5581.0300000000007</v>
      </c>
      <c r="J47" s="16">
        <f t="shared" si="1"/>
        <v>20596.658333333333</v>
      </c>
      <c r="K47" s="16"/>
      <c r="L47" s="16"/>
      <c r="O47" s="46"/>
      <c r="P47" s="1">
        <f t="shared" si="2"/>
        <v>2008</v>
      </c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</row>
    <row r="48" spans="1:30" ht="13.8" x14ac:dyDescent="0.25">
      <c r="A48" s="4">
        <v>20157</v>
      </c>
      <c r="B48" s="4" t="s">
        <v>51</v>
      </c>
      <c r="C48" s="4" t="s">
        <v>70</v>
      </c>
      <c r="D48" s="5">
        <v>38876</v>
      </c>
      <c r="E48" s="4">
        <v>2</v>
      </c>
      <c r="F48" s="1">
        <v>9</v>
      </c>
      <c r="G48" s="8">
        <v>75869</v>
      </c>
      <c r="H48" s="1" t="str">
        <f>VLOOKUP(E48,'נתוני עזר'!$B$4:$C$7,2,FALSE)</f>
        <v>מזומן</v>
      </c>
      <c r="I48" s="15">
        <f t="shared" si="0"/>
        <v>5310.8300000000008</v>
      </c>
      <c r="J48" s="16">
        <f t="shared" si="1"/>
        <v>19599.491666666665</v>
      </c>
      <c r="K48" s="16"/>
      <c r="L48" s="16"/>
      <c r="O48" s="46"/>
      <c r="P48" s="1">
        <f t="shared" si="2"/>
        <v>2006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</row>
    <row r="49" spans="1:30" ht="13.8" x14ac:dyDescent="0.25">
      <c r="A49" s="4">
        <v>20158</v>
      </c>
      <c r="B49" s="4" t="s">
        <v>55</v>
      </c>
      <c r="C49" s="4" t="s">
        <v>68</v>
      </c>
      <c r="D49" s="5">
        <v>39287</v>
      </c>
      <c r="E49" s="4">
        <v>3</v>
      </c>
      <c r="F49" s="1">
        <v>6</v>
      </c>
      <c r="G49" s="8">
        <v>124264</v>
      </c>
      <c r="H49" s="1" t="str">
        <f>VLOOKUP(E49,'נתוני עזר'!$B$4:$C$7,2,FALSE)</f>
        <v>צ'קים</v>
      </c>
      <c r="I49" s="15">
        <f t="shared" si="0"/>
        <v>8698.4800000000014</v>
      </c>
      <c r="J49" s="16">
        <f t="shared" si="1"/>
        <v>32101.533333333333</v>
      </c>
      <c r="K49" s="16"/>
      <c r="L49" s="16"/>
      <c r="O49" s="46"/>
      <c r="P49" s="1">
        <f t="shared" si="2"/>
        <v>2007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</row>
    <row r="50" spans="1:30" ht="13.8" x14ac:dyDescent="0.25">
      <c r="A50" s="4">
        <v>20118</v>
      </c>
      <c r="B50" s="4" t="s">
        <v>57</v>
      </c>
      <c r="C50" s="4" t="s">
        <v>78</v>
      </c>
      <c r="D50" s="5">
        <v>41536</v>
      </c>
      <c r="E50" s="4">
        <v>4</v>
      </c>
      <c r="F50" s="1">
        <v>5</v>
      </c>
      <c r="G50" s="8">
        <v>61489</v>
      </c>
      <c r="H50" s="1" t="str">
        <f>VLOOKUP(E50,'נתוני עזר'!$B$4:$C$7,2,FALSE)</f>
        <v>מס"ב</v>
      </c>
      <c r="I50" s="15">
        <f t="shared" si="0"/>
        <v>5534.01</v>
      </c>
      <c r="J50" s="16">
        <f t="shared" si="1"/>
        <v>15543.052777777777</v>
      </c>
      <c r="K50" s="16"/>
      <c r="L50" s="16"/>
      <c r="O50" s="46"/>
      <c r="P50" s="1">
        <f t="shared" si="2"/>
        <v>2013</v>
      </c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</row>
    <row r="51" spans="1:30" ht="13.8" x14ac:dyDescent="0.25">
      <c r="A51" s="4">
        <v>20143</v>
      </c>
      <c r="B51" s="4" t="s">
        <v>46</v>
      </c>
      <c r="C51" s="4" t="s">
        <v>71</v>
      </c>
      <c r="D51" s="5">
        <v>38966</v>
      </c>
      <c r="E51" s="4">
        <v>2</v>
      </c>
      <c r="F51" s="1">
        <v>5</v>
      </c>
      <c r="G51" s="8">
        <v>199670</v>
      </c>
      <c r="H51" s="1" t="str">
        <f>VLOOKUP(E51,'נתוני עזר'!$B$4:$C$7,2,FALSE)</f>
        <v>מזומן</v>
      </c>
      <c r="I51" s="15">
        <f t="shared" si="0"/>
        <v>13976.900000000001</v>
      </c>
      <c r="J51" s="16">
        <f t="shared" si="1"/>
        <v>51581.416666666664</v>
      </c>
      <c r="K51" s="16"/>
      <c r="L51" s="16"/>
      <c r="O51" s="46"/>
      <c r="P51" s="1">
        <f t="shared" si="2"/>
        <v>2006</v>
      </c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</row>
    <row r="52" spans="1:30" ht="13.8" x14ac:dyDescent="0.25">
      <c r="A52" s="4">
        <v>20129</v>
      </c>
      <c r="B52" s="4" t="s">
        <v>53</v>
      </c>
      <c r="C52" s="4" t="s">
        <v>79</v>
      </c>
      <c r="D52" s="5">
        <v>42361</v>
      </c>
      <c r="E52" s="4">
        <v>3</v>
      </c>
      <c r="F52" s="1">
        <v>9</v>
      </c>
      <c r="G52" s="8">
        <v>160646</v>
      </c>
      <c r="H52" s="1" t="str">
        <f>VLOOKUP(E52,'נתוני עזר'!$B$4:$C$7,2,FALSE)</f>
        <v>צ'קים</v>
      </c>
      <c r="I52" s="15">
        <f t="shared" si="0"/>
        <v>6425.84</v>
      </c>
      <c r="J52" s="16">
        <f t="shared" si="1"/>
        <v>42838.933333333334</v>
      </c>
      <c r="K52" s="16"/>
      <c r="L52" s="16"/>
      <c r="O52" s="46"/>
      <c r="P52" s="1">
        <f t="shared" si="2"/>
        <v>2015</v>
      </c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</row>
    <row r="53" spans="1:30" ht="13.8" x14ac:dyDescent="0.25">
      <c r="A53" s="4">
        <v>20159</v>
      </c>
      <c r="B53" s="4" t="s">
        <v>47</v>
      </c>
      <c r="C53" s="4" t="s">
        <v>70</v>
      </c>
      <c r="D53" s="5">
        <v>39688</v>
      </c>
      <c r="E53" s="4">
        <v>4</v>
      </c>
      <c r="F53" s="1">
        <v>10</v>
      </c>
      <c r="G53" s="8">
        <v>188588</v>
      </c>
      <c r="H53" s="1" t="str">
        <f>VLOOKUP(E53,'נתוני עזר'!$B$4:$C$7,2,FALSE)</f>
        <v>מס"ב</v>
      </c>
      <c r="I53" s="15">
        <f t="shared" si="0"/>
        <v>13201.160000000002</v>
      </c>
      <c r="J53" s="16">
        <f t="shared" si="1"/>
        <v>48718.566666666666</v>
      </c>
      <c r="K53" s="16"/>
      <c r="L53" s="16"/>
      <c r="O53" s="46"/>
      <c r="P53" s="1">
        <f t="shared" si="2"/>
        <v>2008</v>
      </c>
      <c r="R53" s="43" t="s">
        <v>114</v>
      </c>
      <c r="S53" s="43" t="s">
        <v>107</v>
      </c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</row>
    <row r="54" spans="1:30" ht="13.8" x14ac:dyDescent="0.25">
      <c r="A54" s="4">
        <v>20144</v>
      </c>
      <c r="B54" s="4" t="s">
        <v>44</v>
      </c>
      <c r="C54" s="4" t="s">
        <v>68</v>
      </c>
      <c r="D54" s="5">
        <v>43084</v>
      </c>
      <c r="E54" s="4">
        <v>2</v>
      </c>
      <c r="F54" s="1">
        <v>9</v>
      </c>
      <c r="G54" s="8">
        <v>161030</v>
      </c>
      <c r="H54" s="1" t="str">
        <f>VLOOKUP(E54,'נתוני עזר'!$B$4:$C$7,2,FALSE)</f>
        <v>מזומן</v>
      </c>
      <c r="I54" s="15">
        <f t="shared" si="0"/>
        <v>11272.1</v>
      </c>
      <c r="J54" s="16">
        <f t="shared" si="1"/>
        <v>41599.416666666664</v>
      </c>
      <c r="K54" s="16"/>
      <c r="L54" s="16"/>
      <c r="O54" s="46"/>
      <c r="P54" s="1">
        <f t="shared" si="2"/>
        <v>2017</v>
      </c>
      <c r="R54" s="42"/>
      <c r="S54" s="51">
        <v>40179</v>
      </c>
      <c r="T54" s="43">
        <f t="array" ref="T54:T58">FREQUENCY(D2:D65,S54:S58)</f>
        <v>25</v>
      </c>
      <c r="U54" s="42"/>
      <c r="V54" s="42"/>
      <c r="W54" s="42"/>
      <c r="X54" s="42"/>
      <c r="Y54" s="42"/>
      <c r="Z54" s="42"/>
      <c r="AA54" s="42"/>
      <c r="AB54" s="42"/>
      <c r="AC54" s="42"/>
      <c r="AD54" s="42"/>
    </row>
    <row r="55" spans="1:30" ht="13.8" x14ac:dyDescent="0.25">
      <c r="A55" s="4">
        <v>20135</v>
      </c>
      <c r="B55" s="4" t="s">
        <v>58</v>
      </c>
      <c r="C55" s="4" t="s">
        <v>68</v>
      </c>
      <c r="D55" s="5">
        <v>41473</v>
      </c>
      <c r="E55" s="4">
        <v>4</v>
      </c>
      <c r="F55" s="1">
        <v>6</v>
      </c>
      <c r="G55" s="8">
        <v>65506</v>
      </c>
      <c r="H55" s="1" t="str">
        <f>VLOOKUP(E55,'נתוני עזר'!$B$4:$C$7,2,FALSE)</f>
        <v>מס"ב</v>
      </c>
      <c r="I55" s="15">
        <f t="shared" si="0"/>
        <v>5895.54</v>
      </c>
      <c r="J55" s="16">
        <f t="shared" si="1"/>
        <v>16558.461111111112</v>
      </c>
      <c r="K55" s="16"/>
      <c r="L55" s="16"/>
      <c r="O55" s="46"/>
      <c r="P55" s="1">
        <f t="shared" si="2"/>
        <v>2013</v>
      </c>
      <c r="R55" s="42"/>
      <c r="S55" s="51">
        <v>41275</v>
      </c>
      <c r="T55" s="43">
        <v>14</v>
      </c>
      <c r="U55" s="42"/>
      <c r="V55" s="42"/>
      <c r="W55" s="42"/>
      <c r="X55" s="42"/>
      <c r="Y55" s="42"/>
      <c r="Z55" s="42"/>
      <c r="AA55" s="42"/>
      <c r="AB55" s="42"/>
      <c r="AC55" s="42"/>
      <c r="AD55" s="42"/>
    </row>
    <row r="56" spans="1:30" ht="13.8" x14ac:dyDescent="0.25">
      <c r="A56" s="4">
        <v>20136</v>
      </c>
      <c r="B56" s="4" t="s">
        <v>54</v>
      </c>
      <c r="C56" s="4" t="s">
        <v>79</v>
      </c>
      <c r="D56" s="5">
        <v>42448</v>
      </c>
      <c r="E56" s="4">
        <v>2</v>
      </c>
      <c r="F56" s="1">
        <v>2</v>
      </c>
      <c r="G56" s="8">
        <v>157943</v>
      </c>
      <c r="H56" s="1" t="str">
        <f>VLOOKUP(E56,'נתוני עזר'!$B$4:$C$7,2,FALSE)</f>
        <v>מזומן</v>
      </c>
      <c r="I56" s="15">
        <f t="shared" si="0"/>
        <v>6317.72</v>
      </c>
      <c r="J56" s="16">
        <f t="shared" si="1"/>
        <v>42118.133333333331</v>
      </c>
      <c r="K56" s="16"/>
      <c r="L56" s="16"/>
      <c r="O56" s="46"/>
      <c r="P56" s="1">
        <f t="shared" si="2"/>
        <v>2016</v>
      </c>
      <c r="R56" s="42"/>
      <c r="S56" s="51">
        <v>42005</v>
      </c>
      <c r="T56" s="43">
        <v>11</v>
      </c>
      <c r="U56" s="42"/>
      <c r="V56" s="42"/>
      <c r="W56" s="42"/>
      <c r="X56" s="42"/>
      <c r="Y56" s="42"/>
      <c r="Z56" s="42"/>
      <c r="AA56" s="42"/>
      <c r="AB56" s="42"/>
      <c r="AC56" s="42"/>
      <c r="AD56" s="42"/>
    </row>
    <row r="57" spans="1:30" ht="13.8" x14ac:dyDescent="0.25">
      <c r="A57" s="4">
        <v>20145</v>
      </c>
      <c r="B57" s="4" t="s">
        <v>48</v>
      </c>
      <c r="C57" s="4" t="s">
        <v>69</v>
      </c>
      <c r="D57" s="5">
        <v>39688</v>
      </c>
      <c r="E57" s="4">
        <v>1</v>
      </c>
      <c r="F57" s="1">
        <v>6</v>
      </c>
      <c r="G57" s="8">
        <v>52386</v>
      </c>
      <c r="H57" s="1" t="str">
        <f>VLOOKUP(E57,'נתוני עזר'!$B$4:$C$7,2,FALSE)</f>
        <v>העברה בנקאית</v>
      </c>
      <c r="I57" s="15">
        <f t="shared" si="0"/>
        <v>3667.0200000000004</v>
      </c>
      <c r="J57" s="16">
        <f t="shared" si="1"/>
        <v>13533.05</v>
      </c>
      <c r="K57" s="16"/>
      <c r="L57" s="16"/>
      <c r="O57" s="46"/>
      <c r="P57" s="1">
        <f t="shared" si="2"/>
        <v>2008</v>
      </c>
      <c r="R57" s="42"/>
      <c r="S57" s="51">
        <v>42736</v>
      </c>
      <c r="T57" s="43">
        <v>8</v>
      </c>
      <c r="U57" s="42"/>
      <c r="V57" s="42"/>
      <c r="W57" s="42"/>
      <c r="X57" s="42"/>
      <c r="Y57" s="42"/>
      <c r="Z57" s="42"/>
      <c r="AA57" s="42"/>
      <c r="AB57" s="42"/>
      <c r="AC57" s="42"/>
      <c r="AD57" s="42"/>
    </row>
    <row r="58" spans="1:30" ht="13.8" x14ac:dyDescent="0.25">
      <c r="A58" s="4">
        <v>20160</v>
      </c>
      <c r="B58" s="4" t="s">
        <v>52</v>
      </c>
      <c r="C58" s="4" t="s">
        <v>75</v>
      </c>
      <c r="D58" s="5">
        <v>39522</v>
      </c>
      <c r="E58" s="4">
        <v>4</v>
      </c>
      <c r="F58" s="1">
        <v>2</v>
      </c>
      <c r="G58" s="8">
        <v>85300</v>
      </c>
      <c r="H58" s="1" t="str">
        <f>VLOOKUP(E58,'נתוני עזר'!$B$4:$C$7,2,FALSE)</f>
        <v>מס"ב</v>
      </c>
      <c r="I58" s="15">
        <f t="shared" si="0"/>
        <v>5971.0000000000009</v>
      </c>
      <c r="J58" s="16">
        <f t="shared" si="1"/>
        <v>22035.833333333332</v>
      </c>
      <c r="K58" s="16"/>
      <c r="L58" s="16"/>
      <c r="O58" s="46"/>
      <c r="P58" s="1">
        <f t="shared" si="2"/>
        <v>2008</v>
      </c>
      <c r="R58" s="42"/>
      <c r="S58" s="43"/>
      <c r="T58" s="43">
        <v>6</v>
      </c>
      <c r="U58" s="42"/>
      <c r="V58" s="42"/>
      <c r="W58" s="42"/>
      <c r="X58" s="42"/>
      <c r="Y58" s="42"/>
      <c r="Z58" s="42"/>
      <c r="AA58" s="42"/>
      <c r="AB58" s="42"/>
      <c r="AC58" s="42"/>
      <c r="AD58" s="42"/>
    </row>
    <row r="59" spans="1:30" ht="13.8" x14ac:dyDescent="0.25">
      <c r="A59" s="4">
        <v>20137</v>
      </c>
      <c r="B59" s="4" t="s">
        <v>59</v>
      </c>
      <c r="C59" s="4" t="s">
        <v>68</v>
      </c>
      <c r="D59" s="5">
        <v>41243</v>
      </c>
      <c r="E59" s="4">
        <v>4</v>
      </c>
      <c r="F59" s="1">
        <v>1</v>
      </c>
      <c r="G59" s="8">
        <v>157479</v>
      </c>
      <c r="H59" s="1" t="str">
        <f>VLOOKUP(E59,'נתוני עזר'!$B$4:$C$7,2,FALSE)</f>
        <v>מס"ב</v>
      </c>
      <c r="I59" s="15">
        <f t="shared" si="0"/>
        <v>12598.32</v>
      </c>
      <c r="J59" s="16">
        <f t="shared" si="1"/>
        <v>40244.633333333331</v>
      </c>
      <c r="K59" s="16"/>
      <c r="L59" s="16"/>
      <c r="O59" s="46"/>
      <c r="P59" s="1">
        <f t="shared" si="2"/>
        <v>2012</v>
      </c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</row>
    <row r="60" spans="1:30" ht="13.8" x14ac:dyDescent="0.25">
      <c r="A60" s="4">
        <v>20116</v>
      </c>
      <c r="B60" s="4" t="s">
        <v>60</v>
      </c>
      <c r="C60" s="4" t="s">
        <v>72</v>
      </c>
      <c r="D60" s="5">
        <v>38973</v>
      </c>
      <c r="E60" s="4">
        <v>1</v>
      </c>
      <c r="F60" s="1">
        <v>4</v>
      </c>
      <c r="G60" s="8">
        <v>180892</v>
      </c>
      <c r="H60" s="1" t="str">
        <f>VLOOKUP(E60,'נתוני עזר'!$B$4:$C$7,2,FALSE)</f>
        <v>העברה בנקאית</v>
      </c>
      <c r="I60" s="15">
        <f t="shared" si="0"/>
        <v>12662.44</v>
      </c>
      <c r="J60" s="16">
        <f t="shared" si="1"/>
        <v>46730.433333333334</v>
      </c>
      <c r="K60" s="16"/>
      <c r="L60" s="16"/>
      <c r="O60" s="46"/>
      <c r="P60" s="1">
        <f t="shared" si="2"/>
        <v>2006</v>
      </c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</row>
    <row r="61" spans="1:30" ht="13.8" x14ac:dyDescent="0.25">
      <c r="A61" s="4">
        <v>20161</v>
      </c>
      <c r="B61" s="4" t="s">
        <v>67</v>
      </c>
      <c r="C61" s="4" t="s">
        <v>73</v>
      </c>
      <c r="D61" s="5">
        <v>39662</v>
      </c>
      <c r="E61" s="4">
        <v>3</v>
      </c>
      <c r="F61" s="1">
        <v>2</v>
      </c>
      <c r="G61" s="8">
        <v>87755</v>
      </c>
      <c r="H61" s="1" t="str">
        <f>VLOOKUP(E61,'נתוני עזר'!$B$4:$C$7,2,FALSE)</f>
        <v>צ'קים</v>
      </c>
      <c r="I61" s="15">
        <f t="shared" si="0"/>
        <v>6142.85</v>
      </c>
      <c r="J61" s="16">
        <f t="shared" si="1"/>
        <v>22670.041666666664</v>
      </c>
      <c r="K61" s="16"/>
      <c r="L61" s="16"/>
      <c r="O61" s="46"/>
      <c r="P61" s="1">
        <f t="shared" si="2"/>
        <v>2008</v>
      </c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</row>
    <row r="62" spans="1:30" ht="13.8" x14ac:dyDescent="0.25">
      <c r="A62" s="4">
        <v>20146</v>
      </c>
      <c r="B62" s="4" t="s">
        <v>29</v>
      </c>
      <c r="C62" s="4" t="s">
        <v>71</v>
      </c>
      <c r="D62" s="5">
        <v>39448</v>
      </c>
      <c r="E62" s="4">
        <v>5</v>
      </c>
      <c r="F62" s="1">
        <v>8</v>
      </c>
      <c r="G62" s="8">
        <v>119848</v>
      </c>
      <c r="H62" s="1" t="e">
        <f>VLOOKUP(E62,'נתוני עזר'!$B$4:$C$7,2,FALSE)</f>
        <v>#N/A</v>
      </c>
      <c r="I62" s="15">
        <f t="shared" si="0"/>
        <v>8389.36</v>
      </c>
      <c r="J62" s="16">
        <f t="shared" si="1"/>
        <v>30960.733333333334</v>
      </c>
      <c r="K62" s="16"/>
      <c r="L62" s="16"/>
      <c r="O62"/>
      <c r="P62" s="1">
        <f t="shared" si="2"/>
        <v>2008</v>
      </c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</row>
    <row r="63" spans="1:30" ht="13.8" x14ac:dyDescent="0.25">
      <c r="A63" s="4">
        <v>20106</v>
      </c>
      <c r="B63" s="4" t="s">
        <v>0</v>
      </c>
      <c r="C63" s="4" t="s">
        <v>71</v>
      </c>
      <c r="D63" s="5">
        <v>41649</v>
      </c>
      <c r="E63" s="4">
        <v>2</v>
      </c>
      <c r="F63" s="1">
        <v>3</v>
      </c>
      <c r="G63" s="8">
        <v>168416</v>
      </c>
      <c r="H63" s="1" t="str">
        <f>VLOOKUP(E63,'נתוני עזר'!$B$4:$C$7,2,FALSE)</f>
        <v>מזומן</v>
      </c>
      <c r="I63" s="15">
        <f t="shared" si="0"/>
        <v>15157.439999999999</v>
      </c>
      <c r="J63" s="16">
        <f t="shared" si="1"/>
        <v>42571.822222222218</v>
      </c>
      <c r="K63" s="16"/>
      <c r="L63" s="16"/>
      <c r="O63"/>
      <c r="P63" s="1">
        <f t="shared" si="2"/>
        <v>2014</v>
      </c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</row>
    <row r="64" spans="1:30" ht="13.8" x14ac:dyDescent="0.25">
      <c r="A64" s="4">
        <v>20162</v>
      </c>
      <c r="B64" s="4" t="s">
        <v>50</v>
      </c>
      <c r="C64" s="4" t="s">
        <v>78</v>
      </c>
      <c r="D64" s="5">
        <v>40285</v>
      </c>
      <c r="E64" s="4">
        <v>1</v>
      </c>
      <c r="F64" s="1">
        <v>5</v>
      </c>
      <c r="G64" s="8">
        <v>179795</v>
      </c>
      <c r="H64" s="1" t="str">
        <f>VLOOKUP(E64,'נתוני עזר'!$B$4:$C$7,2,FALSE)</f>
        <v>העברה בנקאית</v>
      </c>
      <c r="I64" s="15">
        <f t="shared" si="0"/>
        <v>10787.699999999999</v>
      </c>
      <c r="J64" s="16">
        <f t="shared" si="1"/>
        <v>46946.472222222219</v>
      </c>
      <c r="K64" s="16"/>
      <c r="L64" s="16"/>
      <c r="O64"/>
      <c r="P64" s="1">
        <f t="shared" si="2"/>
        <v>2010</v>
      </c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</row>
    <row r="65" spans="1:16" ht="13.8" x14ac:dyDescent="0.25">
      <c r="A65" s="4">
        <v>20163</v>
      </c>
      <c r="B65" s="4" t="s">
        <v>49</v>
      </c>
      <c r="C65" s="4" t="s">
        <v>69</v>
      </c>
      <c r="D65" s="5">
        <v>39892</v>
      </c>
      <c r="E65" s="4">
        <v>3</v>
      </c>
      <c r="F65" s="1">
        <v>5</v>
      </c>
      <c r="G65" s="8">
        <v>69566</v>
      </c>
      <c r="H65" s="1" t="str">
        <f>VLOOKUP(E65,'נתוני עזר'!$B$4:$C$7,2,FALSE)</f>
        <v>צ'קים</v>
      </c>
      <c r="I65" s="15">
        <f t="shared" si="0"/>
        <v>4173.96</v>
      </c>
      <c r="J65" s="16">
        <f t="shared" si="1"/>
        <v>18164.455555555556</v>
      </c>
      <c r="K65" s="16"/>
      <c r="L65" s="16"/>
      <c r="O65"/>
      <c r="P65" s="1">
        <f t="shared" si="2"/>
        <v>2009</v>
      </c>
    </row>
    <row r="66" spans="1:16" x14ac:dyDescent="0.25">
      <c r="O66"/>
    </row>
    <row r="67" spans="1:16" x14ac:dyDescent="0.25">
      <c r="D67" s="2"/>
      <c r="O67"/>
    </row>
    <row r="68" spans="1:16" x14ac:dyDescent="0.25">
      <c r="D68" s="2"/>
      <c r="O68"/>
    </row>
    <row r="69" spans="1:16" x14ac:dyDescent="0.25">
      <c r="D69" s="2"/>
      <c r="O69"/>
    </row>
    <row r="70" spans="1:16" x14ac:dyDescent="0.25">
      <c r="O70"/>
    </row>
    <row r="71" spans="1:16" x14ac:dyDescent="0.25">
      <c r="O71"/>
    </row>
    <row r="72" spans="1:16" x14ac:dyDescent="0.25">
      <c r="O72"/>
    </row>
    <row r="73" spans="1:16" x14ac:dyDescent="0.25">
      <c r="O73"/>
    </row>
    <row r="74" spans="1:16" x14ac:dyDescent="0.25">
      <c r="O74"/>
    </row>
    <row r="75" spans="1:16" x14ac:dyDescent="0.25">
      <c r="O75"/>
    </row>
    <row r="76" spans="1:16" x14ac:dyDescent="0.25">
      <c r="O76"/>
    </row>
    <row r="77" spans="1:16" x14ac:dyDescent="0.25">
      <c r="O77"/>
    </row>
    <row r="78" spans="1:16" x14ac:dyDescent="0.25">
      <c r="O78"/>
    </row>
    <row r="79" spans="1:16" x14ac:dyDescent="0.25">
      <c r="O79"/>
    </row>
    <row r="80" spans="1:16" x14ac:dyDescent="0.25">
      <c r="O80"/>
    </row>
    <row r="81" spans="15:15" x14ac:dyDescent="0.25">
      <c r="O81"/>
    </row>
    <row r="82" spans="15:15" x14ac:dyDescent="0.25">
      <c r="O82"/>
    </row>
    <row r="83" spans="15:15" x14ac:dyDescent="0.25">
      <c r="O83"/>
    </row>
    <row r="84" spans="15:15" x14ac:dyDescent="0.25">
      <c r="O84"/>
    </row>
    <row r="85" spans="15:15" x14ac:dyDescent="0.25">
      <c r="O85"/>
    </row>
    <row r="86" spans="15:15" x14ac:dyDescent="0.25">
      <c r="O86"/>
    </row>
    <row r="87" spans="15:15" x14ac:dyDescent="0.25">
      <c r="O87"/>
    </row>
    <row r="88" spans="15:15" x14ac:dyDescent="0.25">
      <c r="O88"/>
    </row>
    <row r="89" spans="15:15" x14ac:dyDescent="0.25">
      <c r="O89"/>
    </row>
    <row r="90" spans="15:15" x14ac:dyDescent="0.25">
      <c r="O90"/>
    </row>
    <row r="91" spans="15:15" x14ac:dyDescent="0.25">
      <c r="O91"/>
    </row>
  </sheetData>
  <mergeCells count="2">
    <mergeCell ref="L23:M23"/>
    <mergeCell ref="N14:O14"/>
  </mergeCell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B1A5-3493-4FE3-B846-130F7A261363}">
  <dimension ref="A1:AE91"/>
  <sheetViews>
    <sheetView rightToLeft="1" tabSelected="1" workbookViewId="0">
      <selection activeCell="G35" sqref="G35"/>
    </sheetView>
  </sheetViews>
  <sheetFormatPr defaultColWidth="8.77734375" defaultRowHeight="13.2" x14ac:dyDescent="0.25"/>
  <cols>
    <col min="1" max="1" width="11.77734375" style="1" customWidth="1"/>
    <col min="2" max="2" width="11.44140625" style="1" customWidth="1"/>
    <col min="3" max="3" width="15.6640625" style="1" customWidth="1"/>
    <col min="4" max="4" width="16.6640625" style="1" customWidth="1"/>
    <col min="5" max="5" width="11.33203125" style="1" customWidth="1"/>
    <col min="6" max="6" width="16.6640625" style="1" customWidth="1"/>
    <col min="7" max="7" width="16.33203125" style="1" customWidth="1"/>
    <col min="8" max="8" width="18.109375" style="1" customWidth="1"/>
    <col min="9" max="9" width="19" style="1" customWidth="1"/>
    <col min="10" max="10" width="24.109375" style="1" customWidth="1"/>
    <col min="11" max="11" width="21.33203125" style="1" customWidth="1"/>
    <col min="12" max="12" width="24.109375" style="1" customWidth="1"/>
    <col min="13" max="15" width="8.77734375" style="1"/>
    <col min="16" max="16" width="10.44140625" style="1" bestFit="1" customWidth="1"/>
    <col min="17" max="19" width="8.77734375" style="1"/>
    <col min="20" max="20" width="10.44140625" style="1" bestFit="1" customWidth="1"/>
    <col min="21" max="23" width="8.77734375" style="1"/>
    <col min="24" max="24" width="9.44140625" style="1" bestFit="1" customWidth="1"/>
    <col min="25" max="16384" width="8.77734375" style="1"/>
  </cols>
  <sheetData>
    <row r="1" spans="1:31" s="7" customFormat="1" ht="33.75" customHeight="1" x14ac:dyDescent="0.25">
      <c r="A1" s="6" t="s">
        <v>92</v>
      </c>
      <c r="B1" s="6" t="s">
        <v>87</v>
      </c>
      <c r="C1" s="6" t="s">
        <v>86</v>
      </c>
      <c r="D1" s="6" t="s">
        <v>88</v>
      </c>
      <c r="E1" s="6" t="s">
        <v>89</v>
      </c>
      <c r="F1" s="6" t="s">
        <v>90</v>
      </c>
      <c r="G1" s="6" t="s">
        <v>91</v>
      </c>
      <c r="H1" s="6" t="s">
        <v>94</v>
      </c>
      <c r="I1" s="6" t="s">
        <v>95</v>
      </c>
      <c r="J1" s="6" t="s">
        <v>101</v>
      </c>
      <c r="L1" s="41"/>
      <c r="M1" s="41"/>
      <c r="N1" s="52"/>
      <c r="P1" s="7" t="s">
        <v>123</v>
      </c>
    </row>
    <row r="2" spans="1:31" ht="13.8" x14ac:dyDescent="0.25">
      <c r="A2" s="4">
        <v>20103</v>
      </c>
      <c r="B2" s="4" t="s">
        <v>24</v>
      </c>
      <c r="C2" s="4" t="s">
        <v>74</v>
      </c>
      <c r="D2" s="5">
        <v>41907</v>
      </c>
      <c r="E2" s="4">
        <v>2</v>
      </c>
      <c r="F2" s="1">
        <v>8</v>
      </c>
      <c r="G2" s="8">
        <v>58313</v>
      </c>
      <c r="H2" s="1" t="str">
        <f>VLOOKUP(E2,'נתוני עזר'!$B$4:$C$7,2,FALSE)</f>
        <v>מזומן</v>
      </c>
      <c r="I2" s="15">
        <f t="shared" ref="I2:I65" si="0">G2*IF(YEAR(D2)&lt;=$R$5,$S$14,IF(YEAR(D2)&lt;=$R$6,$S$6,IF(YEAR(D2)&lt;=$R$8,$S$8,IF(YEAR(D2)&lt;=$R$10,$S$10,IF(YEAR(D2)&lt;=$R$12,$S$12,$S$14)))))</f>
        <v>5248.17</v>
      </c>
      <c r="J2" s="16">
        <f>(G2-I2)/$L$17</f>
        <v>4514.9698019526641</v>
      </c>
      <c r="K2" s="16"/>
      <c r="L2" s="16" t="s">
        <v>126</v>
      </c>
      <c r="O2" s="28"/>
      <c r="P2" s="1">
        <f>YEAR(D2)</f>
        <v>2014</v>
      </c>
    </row>
    <row r="3" spans="1:31" ht="13.8" x14ac:dyDescent="0.25">
      <c r="A3" s="4">
        <v>20138</v>
      </c>
      <c r="B3" s="4" t="s">
        <v>14</v>
      </c>
      <c r="C3" s="4" t="s">
        <v>74</v>
      </c>
      <c r="D3" s="5">
        <v>42616</v>
      </c>
      <c r="E3" s="4">
        <v>4</v>
      </c>
      <c r="F3" s="1">
        <v>4</v>
      </c>
      <c r="G3" s="8">
        <v>127284</v>
      </c>
      <c r="H3" s="1" t="str">
        <f>VLOOKUP(E3,'נתוני עזר'!$B$4:$C$7,2,FALSE)</f>
        <v>מס"ב</v>
      </c>
      <c r="I3" s="15">
        <f t="shared" si="0"/>
        <v>5091.3599999999997</v>
      </c>
      <c r="J3" s="16">
        <f t="shared" ref="J3:J65" si="1">(G3-I3)/$L$17</f>
        <v>10396.642740980667</v>
      </c>
      <c r="K3" s="62"/>
      <c r="L3" s="16">
        <f>O15</f>
        <v>110000.00002396278</v>
      </c>
      <c r="P3" s="1">
        <f t="shared" ref="P3:P65" si="2">YEAR(D3)</f>
        <v>2016</v>
      </c>
      <c r="T3" s="42"/>
      <c r="U3" s="42"/>
      <c r="V3" s="42"/>
      <c r="W3" s="42"/>
      <c r="X3" s="42"/>
      <c r="Y3" s="42"/>
      <c r="AA3" s="42"/>
      <c r="AB3" s="42"/>
      <c r="AC3" s="42"/>
      <c r="AD3" s="42"/>
      <c r="AE3" s="42"/>
    </row>
    <row r="4" spans="1:31" ht="13.8" x14ac:dyDescent="0.25">
      <c r="A4" s="4">
        <v>20107</v>
      </c>
      <c r="B4" s="4" t="s">
        <v>33</v>
      </c>
      <c r="C4" s="4" t="s">
        <v>75</v>
      </c>
      <c r="D4" s="5">
        <v>42821</v>
      </c>
      <c r="E4" s="4">
        <v>1</v>
      </c>
      <c r="F4" s="1">
        <v>5</v>
      </c>
      <c r="G4" s="8">
        <v>190177</v>
      </c>
      <c r="H4" s="1" t="str">
        <f>VLOOKUP(E4,'נתוני עזר'!$B$4:$C$7,2,FALSE)</f>
        <v>העברה בנקאית</v>
      </c>
      <c r="I4" s="15">
        <f t="shared" si="0"/>
        <v>13312.390000000001</v>
      </c>
      <c r="J4" s="16">
        <f t="shared" si="1"/>
        <v>15048.354497397524</v>
      </c>
      <c r="K4" s="16">
        <v>3</v>
      </c>
      <c r="L4" s="16">
        <f t="dataTable" ref="L4:L12" dt2D="0" dtr="0" r1="L17"/>
        <v>430946.49999999994</v>
      </c>
      <c r="P4" s="1">
        <f t="shared" si="2"/>
        <v>2017</v>
      </c>
      <c r="Q4" s="19" t="s">
        <v>104</v>
      </c>
      <c r="R4" s="19" t="s">
        <v>103</v>
      </c>
      <c r="T4" s="42"/>
      <c r="U4" s="42"/>
      <c r="V4" s="42"/>
      <c r="W4" s="42"/>
      <c r="X4" s="42"/>
      <c r="Y4" s="42"/>
      <c r="AA4" s="42"/>
      <c r="AB4" s="42"/>
      <c r="AC4" s="42"/>
      <c r="AD4" s="42"/>
      <c r="AE4" s="42"/>
    </row>
    <row r="5" spans="1:31" ht="13.8" x14ac:dyDescent="0.25">
      <c r="A5" s="4">
        <v>20147</v>
      </c>
      <c r="B5" s="4" t="s">
        <v>34</v>
      </c>
      <c r="C5" s="4" t="s">
        <v>77</v>
      </c>
      <c r="D5" s="5">
        <v>41824</v>
      </c>
      <c r="E5" s="4">
        <v>3</v>
      </c>
      <c r="F5" s="1">
        <v>10</v>
      </c>
      <c r="G5" s="8">
        <v>185512</v>
      </c>
      <c r="H5" s="1" t="str">
        <f>VLOOKUP(E5,'נתוני עזר'!$B$4:$C$7,2,FALSE)</f>
        <v>צ'קים</v>
      </c>
      <c r="I5" s="15">
        <f t="shared" si="0"/>
        <v>16696.079999999998</v>
      </c>
      <c r="J5" s="16">
        <f t="shared" si="1"/>
        <v>14363.539483474398</v>
      </c>
      <c r="K5" s="16">
        <v>3.1</v>
      </c>
      <c r="L5" s="16">
        <v>417045.00000000006</v>
      </c>
      <c r="P5" s="1">
        <f t="shared" si="2"/>
        <v>2014</v>
      </c>
      <c r="R5" s="26">
        <v>2008</v>
      </c>
      <c r="S5" s="53"/>
      <c r="T5" s="42"/>
      <c r="U5" s="56"/>
      <c r="V5" s="44"/>
      <c r="W5" s="42"/>
      <c r="X5" s="42"/>
      <c r="Y5" s="42"/>
      <c r="AA5" s="42"/>
      <c r="AB5" s="42"/>
      <c r="AC5" s="42"/>
      <c r="AD5" s="42"/>
      <c r="AE5" s="42"/>
    </row>
    <row r="6" spans="1:31" ht="13.8" x14ac:dyDescent="0.25">
      <c r="A6" s="4">
        <v>20104</v>
      </c>
      <c r="B6" s="4" t="s">
        <v>3</v>
      </c>
      <c r="C6" s="4" t="s">
        <v>80</v>
      </c>
      <c r="D6" s="5">
        <v>40307</v>
      </c>
      <c r="E6" s="4">
        <v>2</v>
      </c>
      <c r="F6" s="1">
        <v>8</v>
      </c>
      <c r="G6" s="8">
        <v>135549</v>
      </c>
      <c r="H6" s="1" t="str">
        <f>VLOOKUP(E6,'נתוני עזר'!$B$4:$C$7,2,FALSE)</f>
        <v>מזומן</v>
      </c>
      <c r="I6" s="15">
        <f t="shared" si="0"/>
        <v>8132.94</v>
      </c>
      <c r="J6" s="16">
        <f t="shared" si="1"/>
        <v>10841.072386056616</v>
      </c>
      <c r="K6" s="16">
        <v>3.2</v>
      </c>
      <c r="L6" s="16">
        <v>404012.34374999988</v>
      </c>
      <c r="P6" s="1">
        <f t="shared" si="2"/>
        <v>2010</v>
      </c>
      <c r="R6" s="17">
        <v>2010</v>
      </c>
      <c r="S6" s="54">
        <v>0.06</v>
      </c>
      <c r="T6" s="42"/>
      <c r="U6" s="42"/>
      <c r="V6" s="43"/>
      <c r="W6" s="43"/>
      <c r="X6" s="43"/>
      <c r="Y6" s="42"/>
      <c r="AA6" s="42"/>
      <c r="AB6" s="42"/>
      <c r="AC6" s="42"/>
      <c r="AD6" s="42"/>
      <c r="AE6" s="42"/>
    </row>
    <row r="7" spans="1:31" ht="13.8" x14ac:dyDescent="0.25">
      <c r="A7" s="4">
        <v>20117</v>
      </c>
      <c r="B7" s="4" t="s">
        <v>9</v>
      </c>
      <c r="C7" s="4" t="s">
        <v>75</v>
      </c>
      <c r="D7" s="5">
        <v>40985</v>
      </c>
      <c r="E7" s="4">
        <v>1</v>
      </c>
      <c r="F7" s="1">
        <v>7</v>
      </c>
      <c r="G7" s="8">
        <v>199206</v>
      </c>
      <c r="H7" s="1" t="str">
        <f>VLOOKUP(E7,'נתוני עזר'!$B$4:$C$7,2,FALSE)</f>
        <v>העברה בנקאית</v>
      </c>
      <c r="I7" s="15">
        <f t="shared" si="0"/>
        <v>15936.48</v>
      </c>
      <c r="J7" s="16">
        <f t="shared" si="1"/>
        <v>15593.310077849297</v>
      </c>
      <c r="K7" s="16">
        <v>3.3</v>
      </c>
      <c r="L7" s="16">
        <v>391769.54545454547</v>
      </c>
      <c r="P7" s="1">
        <f t="shared" si="2"/>
        <v>2012</v>
      </c>
      <c r="R7" s="17"/>
      <c r="S7" s="53"/>
      <c r="T7" s="42"/>
      <c r="U7" s="42"/>
      <c r="V7" s="43"/>
      <c r="W7" s="43"/>
      <c r="X7" s="43"/>
      <c r="Y7" s="42"/>
      <c r="AA7" s="42"/>
      <c r="AB7" s="42"/>
      <c r="AC7" s="42"/>
      <c r="AD7" s="42"/>
      <c r="AE7" s="42"/>
    </row>
    <row r="8" spans="1:31" ht="13.8" x14ac:dyDescent="0.25">
      <c r="A8" s="4">
        <v>20130</v>
      </c>
      <c r="B8" s="4" t="s">
        <v>65</v>
      </c>
      <c r="C8" s="4" t="s">
        <v>69</v>
      </c>
      <c r="D8" s="5">
        <v>38916</v>
      </c>
      <c r="E8" s="4">
        <v>5</v>
      </c>
      <c r="F8" s="1">
        <v>5</v>
      </c>
      <c r="G8" s="8">
        <v>174087</v>
      </c>
      <c r="H8" s="1" t="e">
        <f>VLOOKUP(E8,'נתוני עזר'!$B$4:$C$7,2,FALSE)</f>
        <v>#N/A</v>
      </c>
      <c r="I8" s="15">
        <f t="shared" si="0"/>
        <v>12186.090000000002</v>
      </c>
      <c r="J8" s="16">
        <f t="shared" si="1"/>
        <v>13775.182537259727</v>
      </c>
      <c r="K8" s="16">
        <v>3.4</v>
      </c>
      <c r="L8" s="16">
        <v>380246.9117647059</v>
      </c>
      <c r="P8" s="1">
        <f t="shared" si="2"/>
        <v>2006</v>
      </c>
      <c r="R8" s="17">
        <v>2012</v>
      </c>
      <c r="S8" s="54">
        <v>0.08</v>
      </c>
      <c r="T8" s="42"/>
      <c r="U8" s="42"/>
      <c r="V8" s="43"/>
      <c r="W8" s="43"/>
      <c r="X8" s="43"/>
      <c r="Y8" s="42"/>
      <c r="AA8" s="42"/>
      <c r="AB8" s="42"/>
      <c r="AC8" s="42"/>
      <c r="AD8" s="42"/>
      <c r="AE8" s="42"/>
    </row>
    <row r="9" spans="1:31" ht="13.8" x14ac:dyDescent="0.25">
      <c r="A9" s="4">
        <v>20148</v>
      </c>
      <c r="B9" s="4" t="s">
        <v>2</v>
      </c>
      <c r="C9" s="4" t="s">
        <v>76</v>
      </c>
      <c r="D9" s="5">
        <v>42753</v>
      </c>
      <c r="E9" s="4">
        <v>3</v>
      </c>
      <c r="F9" s="1">
        <v>7</v>
      </c>
      <c r="G9" s="8">
        <v>133032</v>
      </c>
      <c r="H9" s="1" t="str">
        <f>VLOOKUP(E9,'נתוני עזר'!$B$4:$C$7,2,FALSE)</f>
        <v>צ'קים</v>
      </c>
      <c r="I9" s="15">
        <f t="shared" si="0"/>
        <v>9312.2400000000016</v>
      </c>
      <c r="J9" s="16">
        <f t="shared" si="1"/>
        <v>10526.576271041122</v>
      </c>
      <c r="K9" s="16">
        <v>3.5</v>
      </c>
      <c r="L9" s="16">
        <v>369382.71428571426</v>
      </c>
      <c r="P9" s="1">
        <f t="shared" si="2"/>
        <v>2017</v>
      </c>
      <c r="R9" s="17"/>
      <c r="S9" s="53"/>
      <c r="T9" s="42"/>
      <c r="U9" s="42"/>
      <c r="V9" s="43"/>
      <c r="W9" s="43"/>
      <c r="X9" s="43"/>
      <c r="Y9" s="42"/>
      <c r="AA9" s="42"/>
      <c r="AB9" s="42"/>
      <c r="AC9" s="42"/>
      <c r="AD9" s="42"/>
      <c r="AE9" s="42"/>
    </row>
    <row r="10" spans="1:31" ht="13.8" x14ac:dyDescent="0.25">
      <c r="A10" s="4">
        <v>20119</v>
      </c>
      <c r="B10" s="4" t="s">
        <v>11</v>
      </c>
      <c r="C10" s="4" t="s">
        <v>73</v>
      </c>
      <c r="D10" s="5">
        <v>39352</v>
      </c>
      <c r="E10" s="4">
        <v>4</v>
      </c>
      <c r="F10" s="1">
        <v>4</v>
      </c>
      <c r="G10" s="8">
        <v>138877</v>
      </c>
      <c r="H10" s="1" t="str">
        <f>VLOOKUP(E10,'נתוני עזר'!$B$4:$C$7,2,FALSE)</f>
        <v>מס"ב</v>
      </c>
      <c r="I10" s="15">
        <f t="shared" si="0"/>
        <v>9721.3900000000012</v>
      </c>
      <c r="J10" s="16">
        <f t="shared" si="1"/>
        <v>10989.080317467811</v>
      </c>
      <c r="K10" s="16">
        <v>3.6</v>
      </c>
      <c r="L10" s="16">
        <v>359122.08333333326</v>
      </c>
      <c r="P10" s="1">
        <f t="shared" si="2"/>
        <v>2007</v>
      </c>
      <c r="R10" s="17">
        <v>2014</v>
      </c>
      <c r="S10" s="54">
        <v>0.09</v>
      </c>
      <c r="T10" s="42"/>
      <c r="U10" s="42"/>
      <c r="V10" s="43"/>
      <c r="W10" s="43"/>
      <c r="X10" s="43"/>
      <c r="Y10" s="42"/>
      <c r="AA10" s="42"/>
      <c r="AB10" s="42"/>
      <c r="AC10" s="42"/>
      <c r="AD10" s="42"/>
      <c r="AE10" s="42"/>
    </row>
    <row r="11" spans="1:31" ht="28.2" x14ac:dyDescent="0.5">
      <c r="A11" s="4">
        <v>20153</v>
      </c>
      <c r="B11" s="4" t="s">
        <v>7</v>
      </c>
      <c r="C11" s="4" t="s">
        <v>74</v>
      </c>
      <c r="D11" s="5">
        <v>39411</v>
      </c>
      <c r="E11" s="4">
        <v>2</v>
      </c>
      <c r="F11" s="1">
        <v>1</v>
      </c>
      <c r="G11" s="8">
        <v>178982</v>
      </c>
      <c r="H11" s="1" t="str">
        <f>VLOOKUP(E11,'נתוני עזר'!$B$4:$C$7,2,FALSE)</f>
        <v>מזומן</v>
      </c>
      <c r="I11" s="15">
        <f t="shared" si="0"/>
        <v>12528.740000000002</v>
      </c>
      <c r="J11" s="16">
        <f t="shared" si="1"/>
        <v>14162.514839613645</v>
      </c>
      <c r="K11" s="16">
        <v>3.7</v>
      </c>
      <c r="L11" s="16">
        <v>349416.08108108107</v>
      </c>
      <c r="P11" s="1">
        <f t="shared" si="2"/>
        <v>2007</v>
      </c>
      <c r="R11" s="17"/>
      <c r="S11" s="53"/>
      <c r="T11" s="42"/>
      <c r="U11" s="42"/>
      <c r="V11" s="57"/>
      <c r="W11" s="43"/>
      <c r="X11" s="43"/>
      <c r="Y11" s="42"/>
      <c r="AA11" s="42"/>
      <c r="AB11" s="42"/>
      <c r="AC11" s="42"/>
      <c r="AD11" s="42"/>
      <c r="AE11" s="42"/>
    </row>
    <row r="12" spans="1:31" ht="13.8" x14ac:dyDescent="0.25">
      <c r="A12" s="4">
        <v>20139</v>
      </c>
      <c r="B12" s="4" t="s">
        <v>5</v>
      </c>
      <c r="C12" s="4" t="s">
        <v>70</v>
      </c>
      <c r="D12" s="5">
        <v>40146</v>
      </c>
      <c r="E12" s="4">
        <v>2</v>
      </c>
      <c r="F12" s="1">
        <v>2</v>
      </c>
      <c r="G12" s="8">
        <v>102615</v>
      </c>
      <c r="H12" s="1" t="str">
        <f>VLOOKUP(E12,'נתוני עזר'!$B$4:$C$7,2,FALSE)</f>
        <v>מזומן</v>
      </c>
      <c r="I12" s="15">
        <f t="shared" si="0"/>
        <v>6156.9</v>
      </c>
      <c r="J12" s="16">
        <f t="shared" si="1"/>
        <v>8207.0442636625849</v>
      </c>
      <c r="K12" s="16">
        <v>3.8</v>
      </c>
      <c r="L12" s="16">
        <v>340220.92105263163</v>
      </c>
      <c r="P12" s="1">
        <f t="shared" si="2"/>
        <v>2009</v>
      </c>
      <c r="R12" s="17">
        <v>2016</v>
      </c>
      <c r="S12" s="54">
        <v>0.04</v>
      </c>
      <c r="T12" s="42"/>
      <c r="U12" s="42"/>
      <c r="V12" s="43"/>
      <c r="W12" s="43"/>
      <c r="X12" s="43"/>
      <c r="Y12" s="42"/>
      <c r="AA12" s="42"/>
      <c r="AB12" s="42"/>
      <c r="AC12" s="42"/>
      <c r="AD12" s="42"/>
      <c r="AE12" s="42"/>
    </row>
    <row r="13" spans="1:31" ht="13.8" x14ac:dyDescent="0.25">
      <c r="A13" s="4">
        <v>20131</v>
      </c>
      <c r="B13" s="4" t="s">
        <v>31</v>
      </c>
      <c r="C13" s="4" t="s">
        <v>75</v>
      </c>
      <c r="D13" s="5">
        <v>39878</v>
      </c>
      <c r="E13" s="4">
        <v>2</v>
      </c>
      <c r="F13" s="1">
        <v>3</v>
      </c>
      <c r="G13" s="8">
        <v>58896</v>
      </c>
      <c r="H13" s="1" t="str">
        <f>VLOOKUP(E13,'נתוני עזר'!$B$4:$C$7,2,FALSE)</f>
        <v>מזומן</v>
      </c>
      <c r="I13" s="15">
        <f t="shared" si="0"/>
        <v>3533.7599999999998</v>
      </c>
      <c r="J13" s="16">
        <f t="shared" si="1"/>
        <v>4710.442712592424</v>
      </c>
      <c r="K13" s="16"/>
      <c r="L13" s="16"/>
      <c r="O13" s="42"/>
      <c r="P13" s="1">
        <f t="shared" si="2"/>
        <v>2009</v>
      </c>
      <c r="R13" s="17"/>
      <c r="S13" s="53"/>
      <c r="T13" s="42"/>
      <c r="U13" s="42"/>
      <c r="V13" s="42"/>
      <c r="W13" s="42"/>
      <c r="X13" s="42"/>
      <c r="Y13" s="42"/>
      <c r="AA13" s="42"/>
      <c r="AB13" s="42"/>
      <c r="AC13" s="42"/>
      <c r="AD13" s="42"/>
      <c r="AE13" s="42"/>
    </row>
    <row r="14" spans="1:31" ht="13.8" x14ac:dyDescent="0.25">
      <c r="A14" s="4">
        <v>20100</v>
      </c>
      <c r="B14" s="4" t="s">
        <v>12</v>
      </c>
      <c r="C14" s="4" t="s">
        <v>68</v>
      </c>
      <c r="D14" s="5">
        <v>40943</v>
      </c>
      <c r="E14" s="4">
        <v>4</v>
      </c>
      <c r="F14" s="1">
        <v>8</v>
      </c>
      <c r="G14" s="8">
        <v>115845</v>
      </c>
      <c r="H14" s="1" t="str">
        <f>VLOOKUP(E14,'נתוני עזר'!$B$4:$C$7,2,FALSE)</f>
        <v>מס"ב</v>
      </c>
      <c r="I14" s="15">
        <f t="shared" si="0"/>
        <v>9267.6</v>
      </c>
      <c r="J14" s="16">
        <f t="shared" si="1"/>
        <v>9068.0351293056028</v>
      </c>
      <c r="K14" s="16"/>
      <c r="L14" s="16"/>
      <c r="N14" s="59" t="s">
        <v>125</v>
      </c>
      <c r="O14" s="59"/>
      <c r="P14" s="1">
        <f t="shared" si="2"/>
        <v>2012</v>
      </c>
      <c r="R14" s="47">
        <v>2018</v>
      </c>
      <c r="S14" s="55">
        <v>7.0000000000000007E-2</v>
      </c>
      <c r="T14" s="42"/>
      <c r="U14" s="42"/>
      <c r="V14" s="42"/>
      <c r="W14" s="42"/>
      <c r="X14" s="42"/>
      <c r="Y14" s="42"/>
      <c r="AA14" s="42"/>
      <c r="AB14" s="42"/>
      <c r="AC14" s="42"/>
      <c r="AD14" s="42"/>
      <c r="AE14" s="42"/>
    </row>
    <row r="15" spans="1:31" ht="13.8" x14ac:dyDescent="0.25">
      <c r="A15" s="4">
        <v>20101</v>
      </c>
      <c r="B15" s="4" t="s">
        <v>21</v>
      </c>
      <c r="C15" s="4" t="s">
        <v>71</v>
      </c>
      <c r="D15" s="5">
        <v>42109</v>
      </c>
      <c r="E15" s="4">
        <v>1</v>
      </c>
      <c r="F15" s="1">
        <v>3</v>
      </c>
      <c r="G15" s="8">
        <v>92458</v>
      </c>
      <c r="H15" s="1" t="str">
        <f>VLOOKUP(E15,'נתוני עזר'!$B$4:$C$7,2,FALSE)</f>
        <v>העברה בנקאית</v>
      </c>
      <c r="I15" s="15">
        <f t="shared" si="0"/>
        <v>3698.32</v>
      </c>
      <c r="J15" s="16">
        <f t="shared" si="1"/>
        <v>7552.0316343420263</v>
      </c>
      <c r="K15" s="16"/>
      <c r="L15" s="16"/>
      <c r="N15" s="60"/>
      <c r="O15" s="61">
        <f>DSUM(A1:J65,J1,L24:M26)</f>
        <v>110000.00002396278</v>
      </c>
      <c r="P15" s="1">
        <f t="shared" si="2"/>
        <v>2015</v>
      </c>
      <c r="R15" s="42"/>
      <c r="S15" s="42"/>
      <c r="T15" s="42"/>
      <c r="U15" s="43"/>
      <c r="V15" s="43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1" ht="13.8" x14ac:dyDescent="0.25">
      <c r="A16" s="4">
        <v>20102</v>
      </c>
      <c r="B16" s="4" t="s">
        <v>13</v>
      </c>
      <c r="C16" s="4" t="s">
        <v>75</v>
      </c>
      <c r="D16" s="5">
        <v>40302</v>
      </c>
      <c r="E16" s="4">
        <v>4</v>
      </c>
      <c r="F16" s="1">
        <v>1</v>
      </c>
      <c r="G16" s="8">
        <v>143215</v>
      </c>
      <c r="H16" s="1" t="str">
        <f>VLOOKUP(E16,'נתוני עזר'!$B$4:$C$7,2,FALSE)</f>
        <v>מס"ב</v>
      </c>
      <c r="I16" s="15">
        <f t="shared" si="0"/>
        <v>8592.9</v>
      </c>
      <c r="J16" s="16">
        <f t="shared" si="1"/>
        <v>11454.191338697434</v>
      </c>
      <c r="K16" s="16"/>
      <c r="L16" s="16" t="s">
        <v>122</v>
      </c>
      <c r="O16" s="44"/>
      <c r="P16" s="1">
        <f t="shared" si="2"/>
        <v>2010</v>
      </c>
      <c r="R16" s="42"/>
      <c r="S16" s="42"/>
      <c r="T16" s="42"/>
      <c r="U16" s="43"/>
      <c r="V16" s="43"/>
      <c r="W16" s="42"/>
      <c r="X16" s="42"/>
      <c r="Y16" s="42"/>
      <c r="Z16" s="42"/>
      <c r="AA16" s="42"/>
      <c r="AB16" s="42"/>
      <c r="AC16" s="42"/>
      <c r="AD16" s="42"/>
      <c r="AE16" s="42"/>
    </row>
    <row r="17" spans="1:31" ht="13.8" x14ac:dyDescent="0.25">
      <c r="A17" s="4">
        <v>20126</v>
      </c>
      <c r="B17" s="4" t="s">
        <v>1</v>
      </c>
      <c r="C17" s="4" t="s">
        <v>76</v>
      </c>
      <c r="D17" s="5">
        <v>41212</v>
      </c>
      <c r="E17" s="4">
        <v>4</v>
      </c>
      <c r="F17" s="1">
        <v>4</v>
      </c>
      <c r="G17" s="8">
        <v>78785</v>
      </c>
      <c r="H17" s="1" t="str">
        <f>VLOOKUP(E17,'נתוני עזר'!$B$4:$C$7,2,FALSE)</f>
        <v>מס"ב</v>
      </c>
      <c r="I17" s="15">
        <f t="shared" si="0"/>
        <v>6302.8</v>
      </c>
      <c r="J17" s="16">
        <f t="shared" si="1"/>
        <v>6167.0779719654874</v>
      </c>
      <c r="K17" s="16"/>
      <c r="L17" s="16">
        <v>11.753086361076031</v>
      </c>
      <c r="O17" s="42"/>
      <c r="P17" s="1">
        <f t="shared" si="2"/>
        <v>2012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pans="1:31" ht="13.8" x14ac:dyDescent="0.25">
      <c r="A18" s="4">
        <v>20154</v>
      </c>
      <c r="B18" s="4" t="s">
        <v>18</v>
      </c>
      <c r="C18" s="4" t="s">
        <v>73</v>
      </c>
      <c r="D18" s="5">
        <v>41053</v>
      </c>
      <c r="E18" s="4">
        <v>3</v>
      </c>
      <c r="F18" s="1">
        <v>2</v>
      </c>
      <c r="G18" s="8">
        <v>134373</v>
      </c>
      <c r="H18" s="1" t="str">
        <f>VLOOKUP(E18,'נתוני עזר'!$B$4:$C$7,2,FALSE)</f>
        <v>צ'קים</v>
      </c>
      <c r="I18" s="15">
        <f t="shared" si="0"/>
        <v>10749.84</v>
      </c>
      <c r="J18" s="16">
        <f t="shared" si="1"/>
        <v>10518.35715335303</v>
      </c>
      <c r="K18" s="16"/>
      <c r="L18" s="16"/>
      <c r="O18" s="42"/>
      <c r="P18" s="1">
        <f t="shared" si="2"/>
        <v>2012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</row>
    <row r="19" spans="1:31" ht="13.8" x14ac:dyDescent="0.25">
      <c r="A19" s="4">
        <v>20128</v>
      </c>
      <c r="B19" s="4" t="s">
        <v>28</v>
      </c>
      <c r="C19" s="4" t="s">
        <v>68</v>
      </c>
      <c r="D19" s="5">
        <v>42769</v>
      </c>
      <c r="E19" s="4">
        <v>3</v>
      </c>
      <c r="F19" s="1">
        <v>5</v>
      </c>
      <c r="G19" s="8">
        <v>126383</v>
      </c>
      <c r="H19" s="1" t="str">
        <f>VLOOKUP(E19,'נתוני עזר'!$B$4:$C$7,2,FALSE)</f>
        <v>צ'קים</v>
      </c>
      <c r="I19" s="15">
        <f t="shared" si="0"/>
        <v>8846.8100000000013</v>
      </c>
      <c r="J19" s="16">
        <f t="shared" si="1"/>
        <v>10000.453190683371</v>
      </c>
      <c r="K19" s="16"/>
      <c r="L19" s="16"/>
      <c r="O19" s="42"/>
      <c r="P19" s="1">
        <f t="shared" si="2"/>
        <v>2017</v>
      </c>
      <c r="R19" s="42"/>
      <c r="S19" s="42"/>
      <c r="T19" s="42"/>
      <c r="U19" s="43"/>
      <c r="V19" s="43"/>
      <c r="W19" s="42"/>
      <c r="X19" s="42"/>
      <c r="Y19" s="42"/>
      <c r="Z19" s="42"/>
      <c r="AA19" s="42"/>
      <c r="AB19" s="42"/>
      <c r="AC19" s="42"/>
      <c r="AD19" s="42"/>
    </row>
    <row r="20" spans="1:31" ht="13.8" x14ac:dyDescent="0.25">
      <c r="A20" s="4">
        <v>20120</v>
      </c>
      <c r="B20" s="4" t="s">
        <v>20</v>
      </c>
      <c r="C20" s="4" t="s">
        <v>68</v>
      </c>
      <c r="D20" s="5">
        <v>41949</v>
      </c>
      <c r="E20" s="4">
        <v>2</v>
      </c>
      <c r="F20" s="1">
        <v>5</v>
      </c>
      <c r="G20" s="8">
        <v>89915</v>
      </c>
      <c r="H20" s="1" t="str">
        <f>VLOOKUP(E20,'נתוני עזר'!$B$4:$C$7,2,FALSE)</f>
        <v>מזומן</v>
      </c>
      <c r="I20" s="15">
        <f t="shared" si="0"/>
        <v>8092.3499999999995</v>
      </c>
      <c r="J20" s="16">
        <f t="shared" si="1"/>
        <v>6961.8011376978329</v>
      </c>
      <c r="K20" s="16"/>
      <c r="L20" s="16"/>
      <c r="O20" s="42"/>
      <c r="P20" s="1">
        <f t="shared" si="2"/>
        <v>2014</v>
      </c>
      <c r="R20" s="42"/>
      <c r="S20" s="48"/>
      <c r="T20" s="42"/>
      <c r="U20" s="42"/>
      <c r="V20" s="43"/>
      <c r="W20" s="43"/>
      <c r="X20" s="43"/>
      <c r="Y20" s="42"/>
      <c r="Z20" s="42"/>
      <c r="AA20" s="42"/>
      <c r="AB20" s="42"/>
      <c r="AC20" s="42"/>
      <c r="AD20" s="42"/>
    </row>
    <row r="21" spans="1:31" ht="13.8" x14ac:dyDescent="0.25">
      <c r="A21" s="4">
        <v>20149</v>
      </c>
      <c r="B21" s="4" t="s">
        <v>23</v>
      </c>
      <c r="C21" s="4" t="s">
        <v>77</v>
      </c>
      <c r="D21" s="5">
        <v>40200</v>
      </c>
      <c r="E21" s="4">
        <v>4</v>
      </c>
      <c r="F21" s="1">
        <v>3</v>
      </c>
      <c r="G21" s="8">
        <v>55426</v>
      </c>
      <c r="H21" s="1" t="str">
        <f>VLOOKUP(E21,'נתוני עזר'!$B$4:$C$7,2,FALSE)</f>
        <v>מס"ב</v>
      </c>
      <c r="I21" s="15">
        <f t="shared" si="0"/>
        <v>3325.56</v>
      </c>
      <c r="J21" s="16">
        <f t="shared" si="1"/>
        <v>4432.9156103665391</v>
      </c>
      <c r="K21" s="16"/>
      <c r="L21" s="16"/>
      <c r="O21" s="42"/>
      <c r="P21" s="1">
        <f t="shared" si="2"/>
        <v>2010</v>
      </c>
      <c r="R21" s="42"/>
      <c r="S21" s="48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1" ht="13.8" x14ac:dyDescent="0.25">
      <c r="A22" s="4">
        <v>20112</v>
      </c>
      <c r="B22" s="4" t="s">
        <v>30</v>
      </c>
      <c r="C22" s="4" t="s">
        <v>72</v>
      </c>
      <c r="D22" s="5">
        <v>39997</v>
      </c>
      <c r="E22" s="4">
        <v>1</v>
      </c>
      <c r="F22" s="1">
        <v>10</v>
      </c>
      <c r="G22" s="8">
        <v>146318</v>
      </c>
      <c r="H22" s="1" t="str">
        <f>VLOOKUP(E22,'נתוני עזר'!$B$4:$C$7,2,FALSE)</f>
        <v>העברה בנקאית</v>
      </c>
      <c r="I22" s="15">
        <f t="shared" si="0"/>
        <v>8779.08</v>
      </c>
      <c r="J22" s="16">
        <f t="shared" si="1"/>
        <v>11702.366150860811</v>
      </c>
      <c r="K22" s="16"/>
      <c r="L22" s="16"/>
      <c r="O22" s="42"/>
      <c r="P22" s="1">
        <f t="shared" si="2"/>
        <v>2009</v>
      </c>
      <c r="R22" s="42"/>
      <c r="S22" s="48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1" ht="13.8" x14ac:dyDescent="0.25">
      <c r="A23" s="4">
        <v>20113</v>
      </c>
      <c r="B23" s="4" t="s">
        <v>25</v>
      </c>
      <c r="C23" s="4" t="s">
        <v>73</v>
      </c>
      <c r="D23" s="5">
        <v>40360</v>
      </c>
      <c r="E23" s="4">
        <v>4</v>
      </c>
      <c r="F23" s="1">
        <v>5</v>
      </c>
      <c r="G23" s="8">
        <v>89582</v>
      </c>
      <c r="H23" s="1" t="str">
        <f>VLOOKUP(E23,'נתוני עזר'!$B$4:$C$7,2,FALSE)</f>
        <v>מס"ב</v>
      </c>
      <c r="I23" s="15">
        <f t="shared" si="0"/>
        <v>5374.92</v>
      </c>
      <c r="J23" s="16">
        <f t="shared" si="1"/>
        <v>7164.6780609795996</v>
      </c>
      <c r="K23" s="16"/>
      <c r="L23" s="58" t="s">
        <v>124</v>
      </c>
      <c r="M23" s="58"/>
      <c r="O23" s="42"/>
      <c r="P23" s="1">
        <f t="shared" si="2"/>
        <v>2010</v>
      </c>
      <c r="R23" s="42"/>
      <c r="S23" s="48"/>
      <c r="T23" s="42"/>
      <c r="U23" s="42"/>
      <c r="V23" s="42"/>
      <c r="W23" s="42"/>
      <c r="X23" s="43"/>
      <c r="Y23" s="43"/>
      <c r="Z23" s="42"/>
      <c r="AA23" s="42"/>
      <c r="AB23" s="42"/>
      <c r="AC23" s="42"/>
      <c r="AD23" s="42"/>
    </row>
    <row r="24" spans="1:31" ht="26.4" x14ac:dyDescent="0.25">
      <c r="A24" s="4">
        <v>20140</v>
      </c>
      <c r="B24" s="4" t="s">
        <v>16</v>
      </c>
      <c r="C24" s="4" t="s">
        <v>71</v>
      </c>
      <c r="D24" s="5">
        <v>41293</v>
      </c>
      <c r="E24" s="4">
        <v>4</v>
      </c>
      <c r="F24" s="1">
        <v>6</v>
      </c>
      <c r="G24" s="8">
        <v>76295</v>
      </c>
      <c r="H24" s="1" t="str">
        <f>VLOOKUP(E24,'נתוני עזר'!$B$4:$C$7,2,FALSE)</f>
        <v>מס"ב</v>
      </c>
      <c r="I24" s="15">
        <f t="shared" si="0"/>
        <v>6866.55</v>
      </c>
      <c r="J24" s="16">
        <f t="shared" si="1"/>
        <v>5907.2526030212557</v>
      </c>
      <c r="K24" s="16"/>
      <c r="L24" s="6" t="s">
        <v>86</v>
      </c>
      <c r="M24" s="7" t="s">
        <v>123</v>
      </c>
      <c r="N24" s="7"/>
      <c r="O24" s="42"/>
      <c r="P24" s="1">
        <f t="shared" si="2"/>
        <v>2013</v>
      </c>
      <c r="R24" s="42"/>
      <c r="S24" s="48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1" ht="13.8" x14ac:dyDescent="0.25">
      <c r="A25" s="4">
        <v>20121</v>
      </c>
      <c r="B25" s="4" t="s">
        <v>6</v>
      </c>
      <c r="C25" s="4" t="s">
        <v>70</v>
      </c>
      <c r="D25" s="5">
        <v>39248</v>
      </c>
      <c r="E25" s="4">
        <v>1</v>
      </c>
      <c r="F25" s="1">
        <v>10</v>
      </c>
      <c r="G25" s="8">
        <v>71037</v>
      </c>
      <c r="H25" s="1" t="str">
        <f>VLOOKUP(E25,'נתוני עזר'!$B$4:$C$7,2,FALSE)</f>
        <v>העברה בנקאית</v>
      </c>
      <c r="I25" s="15">
        <f t="shared" si="0"/>
        <v>4972.59</v>
      </c>
      <c r="J25" s="16">
        <f t="shared" si="1"/>
        <v>5621.0265091553028</v>
      </c>
      <c r="K25" s="16"/>
      <c r="L25" s="4" t="s">
        <v>68</v>
      </c>
      <c r="M25" s="1">
        <v>2007</v>
      </c>
      <c r="O25" s="42"/>
      <c r="P25" s="1">
        <f t="shared" si="2"/>
        <v>2007</v>
      </c>
      <c r="R25" s="42"/>
      <c r="S25" s="48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spans="1:31" ht="13.8" x14ac:dyDescent="0.25">
      <c r="A26" s="4">
        <v>20155</v>
      </c>
      <c r="B26" s="4" t="s">
        <v>10</v>
      </c>
      <c r="C26" s="4" t="s">
        <v>76</v>
      </c>
      <c r="D26" s="5">
        <v>41402</v>
      </c>
      <c r="E26" s="4">
        <v>4</v>
      </c>
      <c r="F26" s="1">
        <v>2</v>
      </c>
      <c r="G26" s="8">
        <v>100268</v>
      </c>
      <c r="H26" s="1" t="str">
        <f>VLOOKUP(E26,'נתוני עזר'!$B$4:$C$7,2,FALSE)</f>
        <v>מס"ב</v>
      </c>
      <c r="I26" s="15">
        <f t="shared" si="0"/>
        <v>9024.119999999999</v>
      </c>
      <c r="J26" s="16">
        <f t="shared" si="1"/>
        <v>7763.3973916997875</v>
      </c>
      <c r="K26" s="16"/>
      <c r="L26" s="4" t="s">
        <v>68</v>
      </c>
      <c r="M26" s="1">
        <v>2012</v>
      </c>
      <c r="O26" s="43"/>
      <c r="P26" s="1">
        <f t="shared" si="2"/>
        <v>2013</v>
      </c>
      <c r="R26" s="42"/>
      <c r="S26" s="48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</row>
    <row r="27" spans="1:31" ht="13.8" x14ac:dyDescent="0.25">
      <c r="A27" s="4">
        <v>20141</v>
      </c>
      <c r="B27" s="4" t="s">
        <v>27</v>
      </c>
      <c r="C27" s="4" t="s">
        <v>76</v>
      </c>
      <c r="D27" s="5">
        <v>42837</v>
      </c>
      <c r="E27" s="4">
        <v>3</v>
      </c>
      <c r="F27" s="1">
        <v>8</v>
      </c>
      <c r="G27" s="8">
        <v>174120</v>
      </c>
      <c r="H27" s="1" t="str">
        <f>VLOOKUP(E27,'נתוני עזר'!$B$4:$C$7,2,FALSE)</f>
        <v>צ'קים</v>
      </c>
      <c r="I27" s="15">
        <f t="shared" si="0"/>
        <v>12188.400000000001</v>
      </c>
      <c r="J27" s="16">
        <f t="shared" si="1"/>
        <v>13777.79376626436</v>
      </c>
      <c r="K27" s="16"/>
      <c r="L27" s="16"/>
      <c r="O27" s="43"/>
      <c r="P27" s="1">
        <f t="shared" si="2"/>
        <v>2017</v>
      </c>
      <c r="R27" s="42"/>
      <c r="S27" s="42"/>
      <c r="T27" s="42"/>
      <c r="U27" s="43"/>
      <c r="V27" s="43"/>
      <c r="W27" s="42"/>
      <c r="X27" s="42"/>
      <c r="Y27" s="42"/>
      <c r="Z27" s="42"/>
      <c r="AA27" s="42"/>
      <c r="AB27" s="42"/>
      <c r="AC27" s="42"/>
      <c r="AD27" s="42"/>
    </row>
    <row r="28" spans="1:31" ht="13.8" x14ac:dyDescent="0.25">
      <c r="A28" s="4">
        <v>20124</v>
      </c>
      <c r="B28" s="4" t="s">
        <v>26</v>
      </c>
      <c r="C28" s="4" t="s">
        <v>74</v>
      </c>
      <c r="D28" s="5">
        <v>39693</v>
      </c>
      <c r="E28" s="4">
        <v>2</v>
      </c>
      <c r="F28" s="1">
        <v>9</v>
      </c>
      <c r="G28" s="8">
        <v>151094</v>
      </c>
      <c r="H28" s="1" t="str">
        <f>VLOOKUP(E28,'נתוני עזר'!$B$4:$C$7,2,FALSE)</f>
        <v>מזומן</v>
      </c>
      <c r="I28" s="15">
        <f t="shared" si="0"/>
        <v>10576.580000000002</v>
      </c>
      <c r="J28" s="16">
        <f t="shared" si="1"/>
        <v>11955.788946243665</v>
      </c>
      <c r="K28" s="16"/>
      <c r="L28" s="16"/>
      <c r="O28" s="45"/>
      <c r="P28" s="1">
        <f t="shared" si="2"/>
        <v>2008</v>
      </c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</row>
    <row r="29" spans="1:31" ht="13.8" x14ac:dyDescent="0.25">
      <c r="A29" s="4">
        <v>20105</v>
      </c>
      <c r="B29" s="4" t="s">
        <v>66</v>
      </c>
      <c r="C29" s="4" t="s">
        <v>79</v>
      </c>
      <c r="D29" s="5">
        <v>42145</v>
      </c>
      <c r="E29" s="4">
        <v>3</v>
      </c>
      <c r="F29" s="1">
        <v>9</v>
      </c>
      <c r="G29" s="8">
        <v>80471</v>
      </c>
      <c r="H29" s="1" t="str">
        <f>VLOOKUP(E29,'נתוני עזר'!$B$4:$C$7,2,FALSE)</f>
        <v>צ'קים</v>
      </c>
      <c r="I29" s="15">
        <f t="shared" si="0"/>
        <v>3218.84</v>
      </c>
      <c r="J29" s="16">
        <f t="shared" si="1"/>
        <v>6572.9254109664635</v>
      </c>
      <c r="K29" s="16"/>
      <c r="L29" s="16"/>
      <c r="O29" s="45"/>
      <c r="P29" s="1">
        <f t="shared" si="2"/>
        <v>2015</v>
      </c>
      <c r="R29" s="43"/>
      <c r="S29" s="43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</row>
    <row r="30" spans="1:31" ht="13.8" x14ac:dyDescent="0.25">
      <c r="A30" s="4">
        <v>20142</v>
      </c>
      <c r="B30" s="4" t="s">
        <v>45</v>
      </c>
      <c r="C30" s="4" t="s">
        <v>78</v>
      </c>
      <c r="D30" s="5">
        <v>41870</v>
      </c>
      <c r="E30" s="4">
        <v>5</v>
      </c>
      <c r="F30" s="1">
        <v>10</v>
      </c>
      <c r="G30" s="8">
        <v>192182</v>
      </c>
      <c r="H30" s="1" t="e">
        <f>VLOOKUP(E30,'נתוני עזר'!$B$4:$C$7,2,FALSE)</f>
        <v>#N/A</v>
      </c>
      <c r="I30" s="15">
        <f t="shared" si="0"/>
        <v>17296.38</v>
      </c>
      <c r="J30" s="16">
        <f t="shared" si="1"/>
        <v>14879.974044876217</v>
      </c>
      <c r="K30" s="16"/>
      <c r="L30" s="16"/>
      <c r="O30" s="45"/>
      <c r="P30" s="1">
        <f t="shared" si="2"/>
        <v>2014</v>
      </c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</row>
    <row r="31" spans="1:31" ht="13.8" x14ac:dyDescent="0.25">
      <c r="A31" s="4">
        <v>20115</v>
      </c>
      <c r="B31" s="4" t="s">
        <v>8</v>
      </c>
      <c r="C31" s="4" t="s">
        <v>68</v>
      </c>
      <c r="D31" s="5">
        <v>41844</v>
      </c>
      <c r="E31" s="4">
        <v>1</v>
      </c>
      <c r="F31" s="1">
        <v>2</v>
      </c>
      <c r="G31" s="8">
        <v>163171</v>
      </c>
      <c r="H31" s="1" t="str">
        <f>VLOOKUP(E31,'נתוני עזר'!$B$4:$C$7,2,FALSE)</f>
        <v>העברה בנקאית</v>
      </c>
      <c r="I31" s="15">
        <f t="shared" si="0"/>
        <v>14685.39</v>
      </c>
      <c r="J31" s="16">
        <f t="shared" si="1"/>
        <v>12633.754695426715</v>
      </c>
      <c r="K31" s="16"/>
      <c r="L31" s="16"/>
      <c r="O31" s="45"/>
      <c r="P31" s="1">
        <f t="shared" si="2"/>
        <v>2014</v>
      </c>
      <c r="R31" s="42"/>
      <c r="S31" s="42"/>
      <c r="T31" s="42"/>
      <c r="U31" s="42"/>
      <c r="V31" s="42"/>
      <c r="W31" s="43"/>
      <c r="X31" s="49"/>
      <c r="Y31" s="42"/>
      <c r="Z31" s="42"/>
      <c r="AA31" s="42"/>
      <c r="AB31" s="42"/>
      <c r="AC31" s="42"/>
      <c r="AD31" s="42"/>
    </row>
    <row r="32" spans="1:31" ht="13.8" x14ac:dyDescent="0.25">
      <c r="A32" s="4">
        <v>20108</v>
      </c>
      <c r="B32" s="4" t="s">
        <v>15</v>
      </c>
      <c r="C32" s="4" t="s">
        <v>77</v>
      </c>
      <c r="D32" s="5">
        <v>41274</v>
      </c>
      <c r="E32" s="4">
        <v>4</v>
      </c>
      <c r="F32" s="1">
        <v>3</v>
      </c>
      <c r="G32" s="8">
        <v>135523</v>
      </c>
      <c r="H32" s="1" t="str">
        <f>VLOOKUP(E32,'נתוני עזר'!$B$4:$C$7,2,FALSE)</f>
        <v>מס"ב</v>
      </c>
      <c r="I32" s="15">
        <f t="shared" si="0"/>
        <v>10841.84</v>
      </c>
      <c r="J32" s="16">
        <f t="shared" si="1"/>
        <v>10608.376061365472</v>
      </c>
      <c r="K32" s="16"/>
      <c r="L32" s="16"/>
      <c r="O32" s="45"/>
      <c r="P32" s="1">
        <f t="shared" si="2"/>
        <v>2012</v>
      </c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</row>
    <row r="33" spans="1:30" ht="13.8" x14ac:dyDescent="0.25">
      <c r="A33" s="4">
        <v>20109</v>
      </c>
      <c r="B33" s="4" t="s">
        <v>4</v>
      </c>
      <c r="C33" s="4" t="s">
        <v>78</v>
      </c>
      <c r="D33" s="5">
        <v>43053</v>
      </c>
      <c r="E33" s="4">
        <v>5</v>
      </c>
      <c r="F33" s="1">
        <v>3</v>
      </c>
      <c r="G33" s="8">
        <v>151959</v>
      </c>
      <c r="H33" s="1" t="e">
        <f>VLOOKUP(E33,'נתוני עזר'!$B$4:$C$7,2,FALSE)</f>
        <v>#N/A</v>
      </c>
      <c r="I33" s="15">
        <f t="shared" si="0"/>
        <v>10637.130000000001</v>
      </c>
      <c r="J33" s="16">
        <f t="shared" si="1"/>
        <v>12024.234797425715</v>
      </c>
      <c r="K33" s="16"/>
      <c r="L33" s="16"/>
      <c r="O33" s="45"/>
      <c r="P33" s="1">
        <f t="shared" si="2"/>
        <v>2017</v>
      </c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</row>
    <row r="34" spans="1:30" ht="13.8" x14ac:dyDescent="0.25">
      <c r="A34" s="4">
        <v>20110</v>
      </c>
      <c r="B34" s="4" t="s">
        <v>17</v>
      </c>
      <c r="C34" s="4" t="s">
        <v>69</v>
      </c>
      <c r="D34" s="5">
        <v>39899</v>
      </c>
      <c r="E34" s="4">
        <v>4</v>
      </c>
      <c r="F34" s="1">
        <v>3</v>
      </c>
      <c r="G34" s="8">
        <v>198056</v>
      </c>
      <c r="H34" s="1" t="str">
        <f>VLOOKUP(E34,'נתוני עזר'!$B$4:$C$7,2,FALSE)</f>
        <v>מס"ב</v>
      </c>
      <c r="I34" s="15">
        <f t="shared" si="0"/>
        <v>11883.359999999999</v>
      </c>
      <c r="J34" s="16">
        <f t="shared" si="1"/>
        <v>15840.319238746353</v>
      </c>
      <c r="K34" s="16"/>
      <c r="L34" s="16"/>
      <c r="O34" s="45"/>
      <c r="P34" s="1">
        <f t="shared" si="2"/>
        <v>2009</v>
      </c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</row>
    <row r="35" spans="1:30" ht="13.8" x14ac:dyDescent="0.25">
      <c r="A35" s="4">
        <v>20122</v>
      </c>
      <c r="B35" s="4" t="s">
        <v>32</v>
      </c>
      <c r="C35" s="4" t="s">
        <v>68</v>
      </c>
      <c r="D35" s="5">
        <v>39730</v>
      </c>
      <c r="E35" s="4">
        <v>3</v>
      </c>
      <c r="F35" s="1">
        <v>2</v>
      </c>
      <c r="G35" s="8">
        <v>173625</v>
      </c>
      <c r="H35" s="1" t="str">
        <f>VLOOKUP(E35,'נתוני עזר'!$B$4:$C$7,2,FALSE)</f>
        <v>צ'קים</v>
      </c>
      <c r="I35" s="15">
        <f t="shared" si="0"/>
        <v>12153.750000000002</v>
      </c>
      <c r="J35" s="16">
        <f t="shared" si="1"/>
        <v>13738.625331194862</v>
      </c>
      <c r="K35" s="16"/>
      <c r="L35" s="16"/>
      <c r="O35" s="45"/>
      <c r="P35" s="1">
        <f t="shared" si="2"/>
        <v>2008</v>
      </c>
      <c r="R35" s="43"/>
      <c r="S35" s="43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</row>
    <row r="36" spans="1:30" ht="13.8" x14ac:dyDescent="0.25">
      <c r="A36" s="4">
        <v>20114</v>
      </c>
      <c r="B36" s="4" t="s">
        <v>19</v>
      </c>
      <c r="C36" s="4" t="s">
        <v>68</v>
      </c>
      <c r="D36" s="5">
        <v>42204</v>
      </c>
      <c r="E36" s="4">
        <v>2</v>
      </c>
      <c r="F36" s="1">
        <v>7</v>
      </c>
      <c r="G36" s="8">
        <v>78874</v>
      </c>
      <c r="H36" s="1" t="str">
        <f>VLOOKUP(E36,'נתוני עזר'!$B$4:$C$7,2,FALSE)</f>
        <v>מזומן</v>
      </c>
      <c r="I36" s="15">
        <f t="shared" si="0"/>
        <v>3154.96</v>
      </c>
      <c r="J36" s="16">
        <f t="shared" si="1"/>
        <v>6442.4813767017777</v>
      </c>
      <c r="K36" s="16"/>
      <c r="L36" s="16"/>
      <c r="O36" s="45"/>
      <c r="P36" s="1">
        <f t="shared" si="2"/>
        <v>2015</v>
      </c>
      <c r="R36" s="42"/>
      <c r="S36" s="42"/>
      <c r="T36" s="42"/>
      <c r="U36" s="42"/>
      <c r="V36" s="43"/>
      <c r="W36" s="43"/>
      <c r="X36" s="42"/>
      <c r="Y36" s="42"/>
      <c r="Z36" s="42"/>
      <c r="AA36" s="42"/>
      <c r="AB36" s="42"/>
      <c r="AC36" s="42"/>
      <c r="AD36" s="42"/>
    </row>
    <row r="37" spans="1:30" ht="13.8" x14ac:dyDescent="0.25">
      <c r="A37" s="4">
        <v>20156</v>
      </c>
      <c r="B37" s="4" t="s">
        <v>22</v>
      </c>
      <c r="C37" s="4" t="s">
        <v>73</v>
      </c>
      <c r="D37" s="5">
        <v>40991</v>
      </c>
      <c r="E37" s="4">
        <v>2</v>
      </c>
      <c r="F37" s="1">
        <v>1</v>
      </c>
      <c r="G37" s="8">
        <v>110947</v>
      </c>
      <c r="H37" s="1" t="str">
        <f>VLOOKUP(E37,'נתוני עזר'!$B$4:$C$7,2,FALSE)</f>
        <v>מזומן</v>
      </c>
      <c r="I37" s="15">
        <f t="shared" si="0"/>
        <v>8875.76</v>
      </c>
      <c r="J37" s="16">
        <f t="shared" si="1"/>
        <v>8684.6328584839121</v>
      </c>
      <c r="K37" s="16"/>
      <c r="L37" s="16"/>
      <c r="O37" s="45"/>
      <c r="P37" s="1">
        <f t="shared" si="2"/>
        <v>2012</v>
      </c>
      <c r="R37" s="42"/>
      <c r="S37" s="42"/>
      <c r="T37" s="42"/>
      <c r="U37" s="42"/>
      <c r="V37" s="42"/>
      <c r="W37" s="43"/>
      <c r="X37" s="50"/>
      <c r="Y37" s="42"/>
      <c r="Z37" s="42"/>
      <c r="AA37" s="42"/>
      <c r="AB37" s="42"/>
      <c r="AC37" s="42"/>
      <c r="AD37" s="42"/>
    </row>
    <row r="38" spans="1:30" ht="13.8" x14ac:dyDescent="0.25">
      <c r="A38" s="4">
        <v>20125</v>
      </c>
      <c r="B38" s="4" t="s">
        <v>39</v>
      </c>
      <c r="C38" s="4" t="s">
        <v>80</v>
      </c>
      <c r="D38" s="5">
        <v>38782</v>
      </c>
      <c r="E38" s="4">
        <v>3</v>
      </c>
      <c r="F38" s="1">
        <v>4</v>
      </c>
      <c r="G38" s="8">
        <v>194622</v>
      </c>
      <c r="H38" s="1" t="str">
        <f>VLOOKUP(E38,'נתוני עזר'!$B$4:$C$7,2,FALSE)</f>
        <v>צ'קים</v>
      </c>
      <c r="I38" s="15">
        <f t="shared" si="0"/>
        <v>13623.54</v>
      </c>
      <c r="J38" s="16">
        <f t="shared" si="1"/>
        <v>15400.079131506443</v>
      </c>
      <c r="K38" s="16"/>
      <c r="L38" s="16"/>
      <c r="O38" s="45"/>
      <c r="P38" s="1">
        <f t="shared" si="2"/>
        <v>2006</v>
      </c>
      <c r="R38" s="42"/>
      <c r="S38" s="42"/>
      <c r="T38" s="42"/>
      <c r="U38" s="42"/>
      <c r="V38" s="42"/>
      <c r="W38" s="43"/>
      <c r="X38" s="49"/>
      <c r="Y38" s="42"/>
      <c r="Z38" s="42"/>
      <c r="AA38" s="42"/>
      <c r="AB38" s="42"/>
      <c r="AC38" s="42"/>
      <c r="AD38" s="42"/>
    </row>
    <row r="39" spans="1:30" ht="13.8" x14ac:dyDescent="0.25">
      <c r="A39" s="4">
        <v>20132</v>
      </c>
      <c r="B39" s="4" t="s">
        <v>43</v>
      </c>
      <c r="C39" s="4" t="s">
        <v>78</v>
      </c>
      <c r="D39" s="5">
        <v>40782</v>
      </c>
      <c r="E39" s="4">
        <v>5</v>
      </c>
      <c r="F39" s="1">
        <v>4</v>
      </c>
      <c r="G39" s="8">
        <v>133542</v>
      </c>
      <c r="H39" s="1" t="e">
        <f>VLOOKUP(E39,'נתוני עזר'!$B$4:$C$7,2,FALSE)</f>
        <v>#N/A</v>
      </c>
      <c r="I39" s="15">
        <f t="shared" si="0"/>
        <v>10683.36</v>
      </c>
      <c r="J39" s="16">
        <f t="shared" si="1"/>
        <v>10453.308707650125</v>
      </c>
      <c r="K39" s="16"/>
      <c r="L39" s="16"/>
      <c r="O39" s="45"/>
      <c r="P39" s="1">
        <f t="shared" si="2"/>
        <v>2011</v>
      </c>
      <c r="R39" s="42"/>
      <c r="S39" s="42"/>
      <c r="T39" s="42"/>
      <c r="U39" s="42"/>
      <c r="V39" s="42"/>
      <c r="W39" s="43"/>
      <c r="X39" s="49"/>
      <c r="Y39" s="42"/>
      <c r="Z39" s="42"/>
      <c r="AA39" s="42"/>
      <c r="AB39" s="42"/>
      <c r="AC39" s="42"/>
      <c r="AD39" s="42"/>
    </row>
    <row r="40" spans="1:30" ht="13.8" x14ac:dyDescent="0.25">
      <c r="A40" s="4">
        <v>20133</v>
      </c>
      <c r="B40" s="4" t="s">
        <v>35</v>
      </c>
      <c r="C40" s="4" t="s">
        <v>68</v>
      </c>
      <c r="D40" s="5">
        <v>41646</v>
      </c>
      <c r="E40" s="4">
        <v>3</v>
      </c>
      <c r="F40" s="1">
        <v>10</v>
      </c>
      <c r="G40" s="8">
        <v>75605</v>
      </c>
      <c r="H40" s="1" t="str">
        <f>VLOOKUP(E40,'נתוני עזר'!$B$4:$C$7,2,FALSE)</f>
        <v>צ'קים</v>
      </c>
      <c r="I40" s="15">
        <f t="shared" si="0"/>
        <v>6804.45</v>
      </c>
      <c r="J40" s="16">
        <f t="shared" si="1"/>
        <v>5853.8283380486537</v>
      </c>
      <c r="K40" s="16"/>
      <c r="L40" s="16"/>
      <c r="O40" s="45"/>
      <c r="P40" s="1">
        <f t="shared" si="2"/>
        <v>2014</v>
      </c>
      <c r="R40" s="42"/>
      <c r="S40" s="42"/>
      <c r="T40" s="42"/>
      <c r="U40" s="42"/>
      <c r="V40" s="42"/>
      <c r="W40" s="43"/>
      <c r="X40" s="49"/>
      <c r="Y40" s="42"/>
      <c r="Z40" s="42"/>
      <c r="AA40" s="42"/>
      <c r="AB40" s="42"/>
      <c r="AC40" s="42"/>
      <c r="AD40" s="42"/>
    </row>
    <row r="41" spans="1:30" ht="13.8" x14ac:dyDescent="0.25">
      <c r="A41" s="4">
        <v>20123</v>
      </c>
      <c r="B41" s="4" t="s">
        <v>37</v>
      </c>
      <c r="C41" s="4" t="s">
        <v>75</v>
      </c>
      <c r="D41" s="5">
        <v>42394</v>
      </c>
      <c r="E41" s="4">
        <v>4</v>
      </c>
      <c r="F41" s="1">
        <v>5</v>
      </c>
      <c r="G41" s="8">
        <v>165842</v>
      </c>
      <c r="H41" s="1" t="str">
        <f>VLOOKUP(E41,'נתוני עזר'!$B$4:$C$7,2,FALSE)</f>
        <v>מס"ב</v>
      </c>
      <c r="I41" s="15">
        <f t="shared" si="0"/>
        <v>6633.68</v>
      </c>
      <c r="J41" s="16">
        <f t="shared" si="1"/>
        <v>13546.086118048741</v>
      </c>
      <c r="K41" s="16"/>
      <c r="L41" s="16"/>
      <c r="O41" s="46"/>
      <c r="P41" s="1">
        <f t="shared" si="2"/>
        <v>2016</v>
      </c>
      <c r="R41" s="42"/>
      <c r="S41" s="42"/>
      <c r="T41" s="42"/>
      <c r="U41" s="42"/>
      <c r="V41" s="42"/>
      <c r="W41" s="43"/>
      <c r="X41" s="49"/>
      <c r="Y41" s="42"/>
      <c r="Z41" s="42"/>
      <c r="AA41" s="42"/>
      <c r="AB41" s="42"/>
      <c r="AC41" s="42"/>
      <c r="AD41" s="42"/>
    </row>
    <row r="42" spans="1:30" ht="13.8" x14ac:dyDescent="0.25">
      <c r="A42" s="4">
        <v>20150</v>
      </c>
      <c r="B42" s="4" t="s">
        <v>42</v>
      </c>
      <c r="C42" s="4" t="s">
        <v>68</v>
      </c>
      <c r="D42" s="5">
        <v>39651</v>
      </c>
      <c r="E42" s="4">
        <v>1</v>
      </c>
      <c r="F42" s="1">
        <v>1</v>
      </c>
      <c r="G42" s="8">
        <v>67325</v>
      </c>
      <c r="H42" s="1" t="str">
        <f>VLOOKUP(E42,'נתוני עזר'!$B$4:$C$7,2,FALSE)</f>
        <v>העברה בנקאית</v>
      </c>
      <c r="I42" s="15">
        <f t="shared" si="0"/>
        <v>4712.75</v>
      </c>
      <c r="J42" s="16">
        <f t="shared" si="1"/>
        <v>5327.3028102099015</v>
      </c>
      <c r="K42" s="16"/>
      <c r="L42" s="16"/>
      <c r="O42" s="46"/>
      <c r="P42" s="1">
        <f t="shared" si="2"/>
        <v>2008</v>
      </c>
      <c r="R42" s="42"/>
      <c r="S42" s="42"/>
      <c r="T42" s="42"/>
      <c r="U42" s="42"/>
      <c r="V42" s="42"/>
      <c r="W42" s="43"/>
      <c r="X42" s="49"/>
      <c r="Y42" s="42"/>
      <c r="Z42" s="42"/>
      <c r="AA42" s="42"/>
      <c r="AB42" s="42"/>
      <c r="AC42" s="42"/>
      <c r="AD42" s="42"/>
    </row>
    <row r="43" spans="1:30" ht="13.8" x14ac:dyDescent="0.25">
      <c r="A43" s="4">
        <v>20127</v>
      </c>
      <c r="B43" s="4" t="s">
        <v>40</v>
      </c>
      <c r="C43" s="4" t="s">
        <v>69</v>
      </c>
      <c r="D43" s="5">
        <v>38857</v>
      </c>
      <c r="E43" s="4">
        <v>3</v>
      </c>
      <c r="F43" s="1">
        <v>6</v>
      </c>
      <c r="G43" s="8">
        <v>128037</v>
      </c>
      <c r="H43" s="1" t="str">
        <f>VLOOKUP(E43,'נתוני עזר'!$B$4:$C$7,2,FALSE)</f>
        <v>צ'קים</v>
      </c>
      <c r="I43" s="15">
        <f t="shared" si="0"/>
        <v>8962.59</v>
      </c>
      <c r="J43" s="16">
        <f t="shared" si="1"/>
        <v>10131.331153521651</v>
      </c>
      <c r="K43" s="16"/>
      <c r="L43" s="16"/>
      <c r="O43" s="46"/>
      <c r="P43" s="1">
        <f t="shared" si="2"/>
        <v>2006</v>
      </c>
      <c r="R43" s="42"/>
      <c r="S43" s="42"/>
      <c r="T43" s="42"/>
      <c r="U43" s="42"/>
      <c r="V43" s="42"/>
      <c r="W43" s="43"/>
      <c r="X43" s="49"/>
      <c r="Y43" s="42"/>
      <c r="Z43" s="42"/>
      <c r="AA43" s="42"/>
      <c r="AB43" s="42"/>
      <c r="AC43" s="42"/>
      <c r="AD43" s="42"/>
    </row>
    <row r="44" spans="1:30" ht="13.8" x14ac:dyDescent="0.25">
      <c r="A44" s="4">
        <v>20111</v>
      </c>
      <c r="B44" s="4" t="s">
        <v>38</v>
      </c>
      <c r="C44" s="4" t="s">
        <v>76</v>
      </c>
      <c r="D44" s="5">
        <v>42187</v>
      </c>
      <c r="E44" s="4">
        <v>1</v>
      </c>
      <c r="F44" s="1">
        <v>1</v>
      </c>
      <c r="G44" s="8">
        <v>183655</v>
      </c>
      <c r="H44" s="1" t="str">
        <f>VLOOKUP(E44,'נתוני עזר'!$B$4:$C$7,2,FALSE)</f>
        <v>העברה בנקאית</v>
      </c>
      <c r="I44" s="15">
        <f t="shared" si="0"/>
        <v>7346.2</v>
      </c>
      <c r="J44" s="16">
        <f t="shared" si="1"/>
        <v>15001.063940438738</v>
      </c>
      <c r="K44" s="16"/>
      <c r="L44" s="16"/>
      <c r="O44" s="46"/>
      <c r="P44" s="1">
        <f t="shared" si="2"/>
        <v>2015</v>
      </c>
      <c r="R44" s="42"/>
      <c r="S44" s="42"/>
      <c r="T44" s="42"/>
      <c r="U44" s="42"/>
      <c r="V44" s="42"/>
      <c r="W44" s="43"/>
      <c r="X44" s="49"/>
      <c r="Y44" s="42"/>
      <c r="Z44" s="42"/>
      <c r="AA44" s="42"/>
      <c r="AB44" s="42"/>
      <c r="AC44" s="42"/>
      <c r="AD44" s="42"/>
    </row>
    <row r="45" spans="1:30" ht="13.8" x14ac:dyDescent="0.25">
      <c r="A45" s="4">
        <v>20151</v>
      </c>
      <c r="B45" s="4" t="s">
        <v>36</v>
      </c>
      <c r="C45" s="4" t="s">
        <v>77</v>
      </c>
      <c r="D45" s="5">
        <v>40368</v>
      </c>
      <c r="E45" s="4">
        <v>1</v>
      </c>
      <c r="F45" s="1">
        <v>7</v>
      </c>
      <c r="G45" s="8">
        <v>69698</v>
      </c>
      <c r="H45" s="1" t="str">
        <f>VLOOKUP(E45,'נתוני עזר'!$B$4:$C$7,2,FALSE)</f>
        <v>העברה בנקאית</v>
      </c>
      <c r="I45" s="15">
        <f t="shared" si="0"/>
        <v>4181.88</v>
      </c>
      <c r="J45" s="16">
        <f t="shared" si="1"/>
        <v>5574.3757841324841</v>
      </c>
      <c r="K45" s="16"/>
      <c r="L45" s="16"/>
      <c r="O45" s="46"/>
      <c r="P45" s="1">
        <f t="shared" si="2"/>
        <v>2010</v>
      </c>
      <c r="R45" s="42"/>
      <c r="S45" s="42"/>
      <c r="T45" s="42"/>
      <c r="U45" s="42"/>
      <c r="V45" s="42"/>
      <c r="W45" s="43"/>
      <c r="X45" s="49"/>
      <c r="Y45" s="42"/>
      <c r="Z45" s="42"/>
      <c r="AA45" s="42"/>
      <c r="AB45" s="42"/>
      <c r="AC45" s="42"/>
      <c r="AD45" s="42"/>
    </row>
    <row r="46" spans="1:30" ht="13.8" x14ac:dyDescent="0.25">
      <c r="A46" s="4">
        <v>20152</v>
      </c>
      <c r="B46" s="4" t="s">
        <v>41</v>
      </c>
      <c r="C46" s="4" t="s">
        <v>69</v>
      </c>
      <c r="D46" s="5">
        <v>39430</v>
      </c>
      <c r="E46" s="4">
        <v>3</v>
      </c>
      <c r="F46" s="1">
        <v>9</v>
      </c>
      <c r="G46" s="8">
        <v>157573</v>
      </c>
      <c r="H46" s="1" t="str">
        <f>VLOOKUP(E46,'נתוני עזר'!$B$4:$C$7,2,FALSE)</f>
        <v>צ'קים</v>
      </c>
      <c r="I46" s="15">
        <f t="shared" si="0"/>
        <v>11030.11</v>
      </c>
      <c r="J46" s="16">
        <f t="shared" si="1"/>
        <v>12468.460240819975</v>
      </c>
      <c r="K46" s="16"/>
      <c r="L46" s="16"/>
      <c r="O46" s="46"/>
      <c r="P46" s="1">
        <f t="shared" si="2"/>
        <v>2007</v>
      </c>
      <c r="R46" s="42"/>
      <c r="S46" s="43"/>
      <c r="T46" s="49"/>
      <c r="U46" s="42"/>
      <c r="V46" s="42"/>
      <c r="W46" s="43"/>
      <c r="X46" s="49"/>
      <c r="Y46" s="42"/>
      <c r="Z46" s="42"/>
      <c r="AA46" s="42"/>
      <c r="AB46" s="42"/>
      <c r="AC46" s="42"/>
      <c r="AD46" s="42"/>
    </row>
    <row r="47" spans="1:30" ht="13.8" x14ac:dyDescent="0.25">
      <c r="A47" s="4">
        <v>20134</v>
      </c>
      <c r="B47" s="4" t="s">
        <v>56</v>
      </c>
      <c r="C47" s="4" t="s">
        <v>72</v>
      </c>
      <c r="D47" s="5">
        <v>39708</v>
      </c>
      <c r="E47" s="4">
        <v>3</v>
      </c>
      <c r="F47" s="1">
        <v>1</v>
      </c>
      <c r="G47" s="8">
        <v>79729</v>
      </c>
      <c r="H47" s="1" t="str">
        <f>VLOOKUP(E47,'נתוני עזר'!$B$4:$C$7,2,FALSE)</f>
        <v>צ'קים</v>
      </c>
      <c r="I47" s="15">
        <f t="shared" si="0"/>
        <v>5581.0300000000007</v>
      </c>
      <c r="J47" s="16">
        <f t="shared" si="1"/>
        <v>6308.8084033453433</v>
      </c>
      <c r="K47" s="16"/>
      <c r="L47" s="16"/>
      <c r="O47" s="46"/>
      <c r="P47" s="1">
        <f t="shared" si="2"/>
        <v>2008</v>
      </c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</row>
    <row r="48" spans="1:30" ht="13.8" x14ac:dyDescent="0.25">
      <c r="A48" s="4">
        <v>20157</v>
      </c>
      <c r="B48" s="4" t="s">
        <v>51</v>
      </c>
      <c r="C48" s="4" t="s">
        <v>70</v>
      </c>
      <c r="D48" s="5">
        <v>38876</v>
      </c>
      <c r="E48" s="4">
        <v>2</v>
      </c>
      <c r="F48" s="1">
        <v>9</v>
      </c>
      <c r="G48" s="8">
        <v>75869</v>
      </c>
      <c r="H48" s="1" t="str">
        <f>VLOOKUP(E48,'נתוני עזר'!$B$4:$C$7,2,FALSE)</f>
        <v>מזומן</v>
      </c>
      <c r="I48" s="15">
        <f t="shared" si="0"/>
        <v>5310.8300000000008</v>
      </c>
      <c r="J48" s="16">
        <f t="shared" si="1"/>
        <v>6003.3737379549202</v>
      </c>
      <c r="K48" s="16"/>
      <c r="L48" s="16"/>
      <c r="O48" s="46"/>
      <c r="P48" s="1">
        <f t="shared" si="2"/>
        <v>2006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</row>
    <row r="49" spans="1:30" ht="13.8" x14ac:dyDescent="0.25">
      <c r="A49" s="4">
        <v>20158</v>
      </c>
      <c r="B49" s="4" t="s">
        <v>55</v>
      </c>
      <c r="C49" s="4" t="s">
        <v>68</v>
      </c>
      <c r="D49" s="5">
        <v>39287</v>
      </c>
      <c r="E49" s="4">
        <v>3</v>
      </c>
      <c r="F49" s="1">
        <v>6</v>
      </c>
      <c r="G49" s="8">
        <v>124264</v>
      </c>
      <c r="H49" s="1" t="str">
        <f>VLOOKUP(E49,'נתוני עזר'!$B$4:$C$7,2,FALSE)</f>
        <v>צ'קים</v>
      </c>
      <c r="I49" s="15">
        <f t="shared" si="0"/>
        <v>8698.4800000000014</v>
      </c>
      <c r="J49" s="16">
        <f t="shared" si="1"/>
        <v>9832.7806373252606</v>
      </c>
      <c r="K49" s="16"/>
      <c r="L49" s="16"/>
      <c r="O49" s="46"/>
      <c r="P49" s="1">
        <f t="shared" si="2"/>
        <v>2007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</row>
    <row r="50" spans="1:30" ht="13.8" x14ac:dyDescent="0.25">
      <c r="A50" s="4">
        <v>20118</v>
      </c>
      <c r="B50" s="4" t="s">
        <v>57</v>
      </c>
      <c r="C50" s="4" t="s">
        <v>78</v>
      </c>
      <c r="D50" s="5">
        <v>41536</v>
      </c>
      <c r="E50" s="4">
        <v>4</v>
      </c>
      <c r="F50" s="1">
        <v>5</v>
      </c>
      <c r="G50" s="8">
        <v>61489</v>
      </c>
      <c r="H50" s="1" t="str">
        <f>VLOOKUP(E50,'נתוני עזר'!$B$4:$C$7,2,FALSE)</f>
        <v>מס"ב</v>
      </c>
      <c r="I50" s="15">
        <f t="shared" si="0"/>
        <v>5534.01</v>
      </c>
      <c r="J50" s="16">
        <f t="shared" si="1"/>
        <v>4760.876273768582</v>
      </c>
      <c r="K50" s="16"/>
      <c r="L50" s="16"/>
      <c r="O50" s="46"/>
      <c r="P50" s="1">
        <f t="shared" si="2"/>
        <v>2013</v>
      </c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</row>
    <row r="51" spans="1:30" ht="13.8" x14ac:dyDescent="0.25">
      <c r="A51" s="4">
        <v>20143</v>
      </c>
      <c r="B51" s="4" t="s">
        <v>46</v>
      </c>
      <c r="C51" s="4" t="s">
        <v>71</v>
      </c>
      <c r="D51" s="5">
        <v>38966</v>
      </c>
      <c r="E51" s="4">
        <v>2</v>
      </c>
      <c r="F51" s="1">
        <v>5</v>
      </c>
      <c r="G51" s="8">
        <v>199670</v>
      </c>
      <c r="H51" s="1" t="str">
        <f>VLOOKUP(E51,'נתוני עזר'!$B$4:$C$7,2,FALSE)</f>
        <v>מזומן</v>
      </c>
      <c r="I51" s="15">
        <f t="shared" si="0"/>
        <v>13976.900000000001</v>
      </c>
      <c r="J51" s="16">
        <f t="shared" si="1"/>
        <v>15799.51804106366</v>
      </c>
      <c r="K51" s="16"/>
      <c r="L51" s="16"/>
      <c r="O51" s="46"/>
      <c r="P51" s="1">
        <f t="shared" si="2"/>
        <v>2006</v>
      </c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</row>
    <row r="52" spans="1:30" ht="13.8" x14ac:dyDescent="0.25">
      <c r="A52" s="4">
        <v>20129</v>
      </c>
      <c r="B52" s="4" t="s">
        <v>53</v>
      </c>
      <c r="C52" s="4" t="s">
        <v>79</v>
      </c>
      <c r="D52" s="5">
        <v>42361</v>
      </c>
      <c r="E52" s="4">
        <v>3</v>
      </c>
      <c r="F52" s="1">
        <v>9</v>
      </c>
      <c r="G52" s="8">
        <v>160646</v>
      </c>
      <c r="H52" s="1" t="str">
        <f>VLOOKUP(E52,'נתוני עזר'!$B$4:$C$7,2,FALSE)</f>
        <v>צ'קים</v>
      </c>
      <c r="I52" s="15">
        <f t="shared" si="0"/>
        <v>6425.84</v>
      </c>
      <c r="J52" s="16">
        <f t="shared" si="1"/>
        <v>13121.673342820624</v>
      </c>
      <c r="K52" s="16"/>
      <c r="L52" s="16"/>
      <c r="O52" s="46"/>
      <c r="P52" s="1">
        <f t="shared" si="2"/>
        <v>2015</v>
      </c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</row>
    <row r="53" spans="1:30" ht="13.8" x14ac:dyDescent="0.25">
      <c r="A53" s="4">
        <v>20159</v>
      </c>
      <c r="B53" s="4" t="s">
        <v>47</v>
      </c>
      <c r="C53" s="4" t="s">
        <v>70</v>
      </c>
      <c r="D53" s="5">
        <v>39688</v>
      </c>
      <c r="E53" s="4">
        <v>4</v>
      </c>
      <c r="F53" s="1">
        <v>10</v>
      </c>
      <c r="G53" s="8">
        <v>188588</v>
      </c>
      <c r="H53" s="1" t="str">
        <f>VLOOKUP(E53,'נתוני עזר'!$B$4:$C$7,2,FALSE)</f>
        <v>מס"ב</v>
      </c>
      <c r="I53" s="15">
        <f t="shared" si="0"/>
        <v>13201.160000000002</v>
      </c>
      <c r="J53" s="16">
        <f t="shared" si="1"/>
        <v>14922.619864416856</v>
      </c>
      <c r="K53" s="16"/>
      <c r="L53" s="16"/>
      <c r="O53" s="46"/>
      <c r="P53" s="1">
        <f t="shared" si="2"/>
        <v>2008</v>
      </c>
      <c r="R53" s="43" t="s">
        <v>114</v>
      </c>
      <c r="S53" s="43" t="s">
        <v>107</v>
      </c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</row>
    <row r="54" spans="1:30" ht="13.8" x14ac:dyDescent="0.25">
      <c r="A54" s="4">
        <v>20144</v>
      </c>
      <c r="B54" s="4" t="s">
        <v>44</v>
      </c>
      <c r="C54" s="4" t="s">
        <v>68</v>
      </c>
      <c r="D54" s="5">
        <v>43084</v>
      </c>
      <c r="E54" s="4">
        <v>2</v>
      </c>
      <c r="F54" s="1">
        <v>9</v>
      </c>
      <c r="G54" s="8">
        <v>161030</v>
      </c>
      <c r="H54" s="1" t="str">
        <f>VLOOKUP(E54,'נתוני עזר'!$B$4:$C$7,2,FALSE)</f>
        <v>מזומן</v>
      </c>
      <c r="I54" s="15">
        <f t="shared" si="0"/>
        <v>11272.1</v>
      </c>
      <c r="J54" s="16">
        <f t="shared" si="1"/>
        <v>12742.006261093209</v>
      </c>
      <c r="K54" s="16"/>
      <c r="L54" s="16"/>
      <c r="O54" s="46"/>
      <c r="P54" s="1">
        <f t="shared" si="2"/>
        <v>2017</v>
      </c>
      <c r="R54" s="42"/>
      <c r="S54" s="51">
        <v>40179</v>
      </c>
      <c r="T54" s="43">
        <f t="array" ref="T54:T58">FREQUENCY(D2:D65,S54:S58)</f>
        <v>25</v>
      </c>
      <c r="U54" s="42"/>
      <c r="V54" s="42"/>
      <c r="W54" s="42"/>
      <c r="X54" s="42"/>
      <c r="Y54" s="42"/>
      <c r="Z54" s="42"/>
      <c r="AA54" s="42"/>
      <c r="AB54" s="42"/>
      <c r="AC54" s="42"/>
      <c r="AD54" s="42"/>
    </row>
    <row r="55" spans="1:30" ht="13.8" x14ac:dyDescent="0.25">
      <c r="A55" s="4">
        <v>20135</v>
      </c>
      <c r="B55" s="4" t="s">
        <v>58</v>
      </c>
      <c r="C55" s="4" t="s">
        <v>68</v>
      </c>
      <c r="D55" s="5">
        <v>41473</v>
      </c>
      <c r="E55" s="4">
        <v>4</v>
      </c>
      <c r="F55" s="1">
        <v>6</v>
      </c>
      <c r="G55" s="8">
        <v>65506</v>
      </c>
      <c r="H55" s="1" t="str">
        <f>VLOOKUP(E55,'נתוני עזר'!$B$4:$C$7,2,FALSE)</f>
        <v>מס"ב</v>
      </c>
      <c r="I55" s="15">
        <f t="shared" si="0"/>
        <v>5895.54</v>
      </c>
      <c r="J55" s="16">
        <f t="shared" si="1"/>
        <v>5071.8984076742954</v>
      </c>
      <c r="K55" s="16"/>
      <c r="L55" s="16"/>
      <c r="O55" s="46"/>
      <c r="P55" s="1">
        <f t="shared" si="2"/>
        <v>2013</v>
      </c>
      <c r="R55" s="42"/>
      <c r="S55" s="51">
        <v>41275</v>
      </c>
      <c r="T55" s="43">
        <v>14</v>
      </c>
      <c r="U55" s="42"/>
      <c r="V55" s="42"/>
      <c r="W55" s="42"/>
      <c r="X55" s="42"/>
      <c r="Y55" s="42"/>
      <c r="Z55" s="42"/>
      <c r="AA55" s="42"/>
      <c r="AB55" s="42"/>
      <c r="AC55" s="42"/>
      <c r="AD55" s="42"/>
    </row>
    <row r="56" spans="1:30" ht="13.8" x14ac:dyDescent="0.25">
      <c r="A56" s="4">
        <v>20136</v>
      </c>
      <c r="B56" s="4" t="s">
        <v>54</v>
      </c>
      <c r="C56" s="4" t="s">
        <v>79</v>
      </c>
      <c r="D56" s="5">
        <v>42448</v>
      </c>
      <c r="E56" s="4">
        <v>2</v>
      </c>
      <c r="F56" s="1">
        <v>2</v>
      </c>
      <c r="G56" s="8">
        <v>157943</v>
      </c>
      <c r="H56" s="1" t="str">
        <f>VLOOKUP(E56,'נתוני עזר'!$B$4:$C$7,2,FALSE)</f>
        <v>מזומן</v>
      </c>
      <c r="I56" s="15">
        <f t="shared" si="0"/>
        <v>6317.72</v>
      </c>
      <c r="J56" s="16">
        <f t="shared" si="1"/>
        <v>12900.890484575511</v>
      </c>
      <c r="K56" s="16"/>
      <c r="L56" s="16"/>
      <c r="O56" s="46"/>
      <c r="P56" s="1">
        <f t="shared" si="2"/>
        <v>2016</v>
      </c>
      <c r="R56" s="42"/>
      <c r="S56" s="51">
        <v>42005</v>
      </c>
      <c r="T56" s="43">
        <v>11</v>
      </c>
      <c r="U56" s="42"/>
      <c r="V56" s="42"/>
      <c r="W56" s="42"/>
      <c r="X56" s="42"/>
      <c r="Y56" s="42"/>
      <c r="Z56" s="42"/>
      <c r="AA56" s="42"/>
      <c r="AB56" s="42"/>
      <c r="AC56" s="42"/>
      <c r="AD56" s="42"/>
    </row>
    <row r="57" spans="1:30" ht="13.8" x14ac:dyDescent="0.25">
      <c r="A57" s="4">
        <v>20145</v>
      </c>
      <c r="B57" s="4" t="s">
        <v>48</v>
      </c>
      <c r="C57" s="4" t="s">
        <v>69</v>
      </c>
      <c r="D57" s="5">
        <v>39688</v>
      </c>
      <c r="E57" s="4">
        <v>1</v>
      </c>
      <c r="F57" s="1">
        <v>6</v>
      </c>
      <c r="G57" s="8">
        <v>52386</v>
      </c>
      <c r="H57" s="1" t="str">
        <f>VLOOKUP(E57,'נתוני עזר'!$B$4:$C$7,2,FALSE)</f>
        <v>העברה בנקאית</v>
      </c>
      <c r="I57" s="15">
        <f t="shared" si="0"/>
        <v>3667.0200000000004</v>
      </c>
      <c r="J57" s="16">
        <f t="shared" si="1"/>
        <v>4145.2073526276399</v>
      </c>
      <c r="K57" s="16"/>
      <c r="L57" s="16"/>
      <c r="O57" s="46"/>
      <c r="P57" s="1">
        <f t="shared" si="2"/>
        <v>2008</v>
      </c>
      <c r="R57" s="42"/>
      <c r="S57" s="51">
        <v>42736</v>
      </c>
      <c r="T57" s="43">
        <v>8</v>
      </c>
      <c r="U57" s="42"/>
      <c r="V57" s="42"/>
      <c r="W57" s="42"/>
      <c r="X57" s="42"/>
      <c r="Y57" s="42"/>
      <c r="Z57" s="42"/>
      <c r="AA57" s="42"/>
      <c r="AB57" s="42"/>
      <c r="AC57" s="42"/>
      <c r="AD57" s="42"/>
    </row>
    <row r="58" spans="1:30" ht="13.8" x14ac:dyDescent="0.25">
      <c r="A58" s="4">
        <v>20160</v>
      </c>
      <c r="B58" s="4" t="s">
        <v>52</v>
      </c>
      <c r="C58" s="4" t="s">
        <v>75</v>
      </c>
      <c r="D58" s="5">
        <v>39522</v>
      </c>
      <c r="E58" s="4">
        <v>4</v>
      </c>
      <c r="F58" s="1">
        <v>2</v>
      </c>
      <c r="G58" s="8">
        <v>85300</v>
      </c>
      <c r="H58" s="1" t="str">
        <f>VLOOKUP(E58,'נתוני עזר'!$B$4:$C$7,2,FALSE)</f>
        <v>מס"ב</v>
      </c>
      <c r="I58" s="15">
        <f t="shared" si="0"/>
        <v>5971.0000000000009</v>
      </c>
      <c r="J58" s="16">
        <f t="shared" si="1"/>
        <v>6749.6313362184119</v>
      </c>
      <c r="K58" s="16"/>
      <c r="L58" s="16"/>
      <c r="O58" s="46"/>
      <c r="P58" s="1">
        <f t="shared" si="2"/>
        <v>2008</v>
      </c>
      <c r="R58" s="42"/>
      <c r="S58" s="43"/>
      <c r="T58" s="43">
        <v>6</v>
      </c>
      <c r="U58" s="42"/>
      <c r="V58" s="42"/>
      <c r="W58" s="42"/>
      <c r="X58" s="42"/>
      <c r="Y58" s="42"/>
      <c r="Z58" s="42"/>
      <c r="AA58" s="42"/>
      <c r="AB58" s="42"/>
      <c r="AC58" s="42"/>
      <c r="AD58" s="42"/>
    </row>
    <row r="59" spans="1:30" ht="13.8" x14ac:dyDescent="0.25">
      <c r="A59" s="4">
        <v>20137</v>
      </c>
      <c r="B59" s="4" t="s">
        <v>59</v>
      </c>
      <c r="C59" s="4" t="s">
        <v>68</v>
      </c>
      <c r="D59" s="5">
        <v>41243</v>
      </c>
      <c r="E59" s="4">
        <v>4</v>
      </c>
      <c r="F59" s="1">
        <v>1</v>
      </c>
      <c r="G59" s="8">
        <v>157479</v>
      </c>
      <c r="H59" s="1" t="str">
        <f>VLOOKUP(E59,'נתוני עזר'!$B$4:$C$7,2,FALSE)</f>
        <v>מס"ב</v>
      </c>
      <c r="I59" s="15">
        <f t="shared" si="0"/>
        <v>12598.32</v>
      </c>
      <c r="J59" s="16">
        <f t="shared" si="1"/>
        <v>12327.032708601295</v>
      </c>
      <c r="K59" s="16"/>
      <c r="L59" s="16"/>
      <c r="O59" s="46"/>
      <c r="P59" s="1">
        <f t="shared" si="2"/>
        <v>2012</v>
      </c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</row>
    <row r="60" spans="1:30" ht="13.8" x14ac:dyDescent="0.25">
      <c r="A60" s="4">
        <v>20116</v>
      </c>
      <c r="B60" s="4" t="s">
        <v>60</v>
      </c>
      <c r="C60" s="4" t="s">
        <v>72</v>
      </c>
      <c r="D60" s="5">
        <v>38973</v>
      </c>
      <c r="E60" s="4">
        <v>1</v>
      </c>
      <c r="F60" s="1">
        <v>4</v>
      </c>
      <c r="G60" s="8">
        <v>180892</v>
      </c>
      <c r="H60" s="1" t="str">
        <f>VLOOKUP(E60,'נתוני עזר'!$B$4:$C$7,2,FALSE)</f>
        <v>העברה בנקאית</v>
      </c>
      <c r="I60" s="15">
        <f t="shared" si="0"/>
        <v>12662.44</v>
      </c>
      <c r="J60" s="16">
        <f t="shared" si="1"/>
        <v>14313.649609275742</v>
      </c>
      <c r="K60" s="16"/>
      <c r="L60" s="16"/>
      <c r="O60" s="46"/>
      <c r="P60" s="1">
        <f t="shared" si="2"/>
        <v>2006</v>
      </c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</row>
    <row r="61" spans="1:30" ht="13.8" x14ac:dyDescent="0.25">
      <c r="A61" s="4">
        <v>20161</v>
      </c>
      <c r="B61" s="4" t="s">
        <v>67</v>
      </c>
      <c r="C61" s="4" t="s">
        <v>73</v>
      </c>
      <c r="D61" s="5">
        <v>39662</v>
      </c>
      <c r="E61" s="4">
        <v>3</v>
      </c>
      <c r="F61" s="1">
        <v>2</v>
      </c>
      <c r="G61" s="8">
        <v>87755</v>
      </c>
      <c r="H61" s="1" t="str">
        <f>VLOOKUP(E61,'נתוני עזר'!$B$4:$C$7,2,FALSE)</f>
        <v>צ'קים</v>
      </c>
      <c r="I61" s="15">
        <f t="shared" si="0"/>
        <v>6142.85</v>
      </c>
      <c r="J61" s="16">
        <f t="shared" si="1"/>
        <v>6943.8909485327858</v>
      </c>
      <c r="K61" s="16"/>
      <c r="L61" s="16"/>
      <c r="O61" s="46"/>
      <c r="P61" s="1">
        <f t="shared" si="2"/>
        <v>2008</v>
      </c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</row>
    <row r="62" spans="1:30" ht="13.8" x14ac:dyDescent="0.25">
      <c r="A62" s="4">
        <v>20146</v>
      </c>
      <c r="B62" s="4" t="s">
        <v>29</v>
      </c>
      <c r="C62" s="4" t="s">
        <v>71</v>
      </c>
      <c r="D62" s="5">
        <v>39448</v>
      </c>
      <c r="E62" s="4">
        <v>5</v>
      </c>
      <c r="F62" s="1">
        <v>8</v>
      </c>
      <c r="G62" s="8">
        <v>119848</v>
      </c>
      <c r="H62" s="1" t="e">
        <f>VLOOKUP(E62,'נתוני עזר'!$B$4:$C$7,2,FALSE)</f>
        <v>#N/A</v>
      </c>
      <c r="I62" s="15">
        <f t="shared" si="0"/>
        <v>8389.36</v>
      </c>
      <c r="J62" s="16">
        <f t="shared" si="1"/>
        <v>9483.350719614351</v>
      </c>
      <c r="K62" s="16"/>
      <c r="L62" s="16"/>
      <c r="O62"/>
      <c r="P62" s="1">
        <f t="shared" si="2"/>
        <v>2008</v>
      </c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</row>
    <row r="63" spans="1:30" ht="13.8" x14ac:dyDescent="0.25">
      <c r="A63" s="4">
        <v>20106</v>
      </c>
      <c r="B63" s="4" t="s">
        <v>0</v>
      </c>
      <c r="C63" s="4" t="s">
        <v>71</v>
      </c>
      <c r="D63" s="5">
        <v>41649</v>
      </c>
      <c r="E63" s="4">
        <v>2</v>
      </c>
      <c r="F63" s="1">
        <v>3</v>
      </c>
      <c r="G63" s="8">
        <v>168416</v>
      </c>
      <c r="H63" s="1" t="str">
        <f>VLOOKUP(E63,'נתוני עזר'!$B$4:$C$7,2,FALSE)</f>
        <v>מזומן</v>
      </c>
      <c r="I63" s="15">
        <f t="shared" si="0"/>
        <v>15157.439999999999</v>
      </c>
      <c r="J63" s="16">
        <f t="shared" si="1"/>
        <v>13039.856535689465</v>
      </c>
      <c r="K63" s="16"/>
      <c r="L63" s="16"/>
      <c r="O63"/>
      <c r="P63" s="1">
        <f t="shared" si="2"/>
        <v>2014</v>
      </c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</row>
    <row r="64" spans="1:30" ht="13.8" x14ac:dyDescent="0.25">
      <c r="A64" s="4">
        <v>20162</v>
      </c>
      <c r="B64" s="4" t="s">
        <v>50</v>
      </c>
      <c r="C64" s="4" t="s">
        <v>78</v>
      </c>
      <c r="D64" s="5">
        <v>40285</v>
      </c>
      <c r="E64" s="4">
        <v>1</v>
      </c>
      <c r="F64" s="1">
        <v>5</v>
      </c>
      <c r="G64" s="8">
        <v>179795</v>
      </c>
      <c r="H64" s="1" t="str">
        <f>VLOOKUP(E64,'נתוני עזר'!$B$4:$C$7,2,FALSE)</f>
        <v>העברה בנקאית</v>
      </c>
      <c r="I64" s="15">
        <f t="shared" si="0"/>
        <v>10787.699999999999</v>
      </c>
      <c r="J64" s="16">
        <f t="shared" si="1"/>
        <v>14379.822865908633</v>
      </c>
      <c r="K64" s="16"/>
      <c r="L64" s="16"/>
      <c r="O64"/>
      <c r="P64" s="1">
        <f t="shared" si="2"/>
        <v>2010</v>
      </c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</row>
    <row r="65" spans="1:16" ht="13.8" x14ac:dyDescent="0.25">
      <c r="A65" s="4">
        <v>20163</v>
      </c>
      <c r="B65" s="4" t="s">
        <v>49</v>
      </c>
      <c r="C65" s="4" t="s">
        <v>69</v>
      </c>
      <c r="D65" s="5">
        <v>39892</v>
      </c>
      <c r="E65" s="4">
        <v>3</v>
      </c>
      <c r="F65" s="1">
        <v>5</v>
      </c>
      <c r="G65" s="8">
        <v>69566</v>
      </c>
      <c r="H65" s="1" t="str">
        <f>VLOOKUP(E65,'נתוני עזר'!$B$4:$C$7,2,FALSE)</f>
        <v>צ'קים</v>
      </c>
      <c r="I65" s="15">
        <f t="shared" si="0"/>
        <v>4173.96</v>
      </c>
      <c r="J65" s="16">
        <f t="shared" si="1"/>
        <v>5563.8185571890208</v>
      </c>
      <c r="K65" s="16"/>
      <c r="L65" s="16"/>
      <c r="O65"/>
      <c r="P65" s="1">
        <f t="shared" si="2"/>
        <v>2009</v>
      </c>
    </row>
    <row r="66" spans="1:16" x14ac:dyDescent="0.25">
      <c r="O66"/>
    </row>
    <row r="67" spans="1:16" x14ac:dyDescent="0.25">
      <c r="D67" s="2"/>
      <c r="O67"/>
    </row>
    <row r="68" spans="1:16" x14ac:dyDescent="0.25">
      <c r="D68" s="2"/>
      <c r="O68"/>
    </row>
    <row r="69" spans="1:16" x14ac:dyDescent="0.25">
      <c r="D69" s="2"/>
      <c r="O69"/>
    </row>
    <row r="70" spans="1:16" x14ac:dyDescent="0.25">
      <c r="O70"/>
    </row>
    <row r="71" spans="1:16" x14ac:dyDescent="0.25">
      <c r="O71"/>
    </row>
    <row r="72" spans="1:16" x14ac:dyDescent="0.25">
      <c r="O72"/>
    </row>
    <row r="73" spans="1:16" x14ac:dyDescent="0.25">
      <c r="O73"/>
    </row>
    <row r="74" spans="1:16" x14ac:dyDescent="0.25">
      <c r="O74"/>
    </row>
    <row r="75" spans="1:16" x14ac:dyDescent="0.25">
      <c r="O75"/>
    </row>
    <row r="76" spans="1:16" x14ac:dyDescent="0.25">
      <c r="O76"/>
    </row>
    <row r="77" spans="1:16" x14ac:dyDescent="0.25">
      <c r="O77"/>
    </row>
    <row r="78" spans="1:16" x14ac:dyDescent="0.25">
      <c r="O78"/>
    </row>
    <row r="79" spans="1:16" x14ac:dyDescent="0.25">
      <c r="O79"/>
    </row>
    <row r="80" spans="1:16" x14ac:dyDescent="0.25">
      <c r="O80"/>
    </row>
    <row r="81" spans="15:15" x14ac:dyDescent="0.25">
      <c r="O81"/>
    </row>
    <row r="82" spans="15:15" x14ac:dyDescent="0.25">
      <c r="O82"/>
    </row>
    <row r="83" spans="15:15" x14ac:dyDescent="0.25">
      <c r="O83"/>
    </row>
    <row r="84" spans="15:15" x14ac:dyDescent="0.25">
      <c r="O84"/>
    </row>
    <row r="85" spans="15:15" x14ac:dyDescent="0.25">
      <c r="O85"/>
    </row>
    <row r="86" spans="15:15" x14ac:dyDescent="0.25">
      <c r="O86"/>
    </row>
    <row r="87" spans="15:15" x14ac:dyDescent="0.25">
      <c r="O87"/>
    </row>
    <row r="88" spans="15:15" x14ac:dyDescent="0.25">
      <c r="O88"/>
    </row>
    <row r="89" spans="15:15" x14ac:dyDescent="0.25">
      <c r="O89"/>
    </row>
    <row r="90" spans="15:15" x14ac:dyDescent="0.25">
      <c r="O90"/>
    </row>
    <row r="91" spans="15:15" x14ac:dyDescent="0.25">
      <c r="O91"/>
    </row>
  </sheetData>
  <mergeCells count="2">
    <mergeCell ref="N14:O14"/>
    <mergeCell ref="L23:M23"/>
  </mergeCell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9</vt:i4>
      </vt:variant>
      <vt:variant>
        <vt:lpstr>טווחים בעלי שם</vt:lpstr>
      </vt:variant>
      <vt:variant>
        <vt:i4>1</vt:i4>
      </vt:variant>
    </vt:vector>
  </HeadingPairs>
  <TitlesOfParts>
    <vt:vector size="10" baseType="lpstr">
      <vt:lpstr>פרטים</vt:lpstr>
      <vt:lpstr>נתוני עזר</vt:lpstr>
      <vt:lpstr>לקוחות</vt:lpstr>
      <vt:lpstr>ניתוח סך הפדיון</vt:lpstr>
      <vt:lpstr>פדיון</vt:lpstr>
      <vt:lpstr>ניתוח  סך הפדיון</vt:lpstr>
      <vt:lpstr>גיליון1</vt:lpstr>
      <vt:lpstr>ניתוח  סך הפדיון (2)</vt:lpstr>
      <vt:lpstr>ניתוח  סך הפדיון (3)</vt:lpstr>
      <vt:lpstr>פדיון!Extract</vt:lpstr>
    </vt:vector>
  </TitlesOfParts>
  <Company>משקי גליל עליון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Meir</dc:creator>
  <cp:lastModifiedBy>Halamish Moran</cp:lastModifiedBy>
  <dcterms:created xsi:type="dcterms:W3CDTF">2008-10-23T12:35:34Z</dcterms:created>
  <dcterms:modified xsi:type="dcterms:W3CDTF">2024-02-28T15:18:24Z</dcterms:modified>
</cp:coreProperties>
</file>