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משתמש\Desktop\"/>
    </mc:Choice>
  </mc:AlternateContent>
  <xr:revisionPtr revIDLastSave="0" documentId="13_ncr:1_{BDF4B119-3E16-4473-A634-5D6C6B87EDDA}" xr6:coauthVersionLast="47" xr6:coauthVersionMax="47" xr10:uidLastSave="{00000000-0000-0000-0000-000000000000}"/>
  <bookViews>
    <workbookView xWindow="-108" yWindow="-108" windowWidth="30936" windowHeight="16896" firstSheet="7" activeTab="16" xr2:uid="{00000000-000D-0000-FFFF-FFFF00000000}"/>
  </bookViews>
  <sheets>
    <sheet name="הגיליון הכי חשוב" sheetId="34" r:id="rId1"/>
    <sheet name="פעמיים VLOOKUP" sheetId="19" r:id="rId2"/>
    <sheet name="DATE" sheetId="1" r:id="rId3"/>
    <sheet name="תנאי בתוך תנאי" sheetId="2" r:id="rId4"/>
    <sheet name="AverageIf" sheetId="9" r:id="rId5"/>
    <sheet name="חתירה למטרה 1" sheetId="28" r:id="rId6"/>
    <sheet name="חתירה למטרה 2" sheetId="27" r:id="rId7"/>
    <sheet name="countIf" sheetId="6" r:id="rId8"/>
    <sheet name="סינון מתקדם1" sheetId="20" r:id="rId9"/>
    <sheet name="גיליון1" sheetId="35" r:id="rId10"/>
    <sheet name="תוצאות סינון מתקדם 1" sheetId="30" r:id="rId11"/>
    <sheet name="סינון מתקדם2" sheetId="31" r:id="rId12"/>
    <sheet name="תוצאות סינון מתקדם 2" sheetId="33" r:id="rId13"/>
    <sheet name="VlookUp" sheetId="13" r:id="rId14"/>
    <sheet name="FREQUENCY" sheetId="29" r:id="rId15"/>
    <sheet name="Dsum" sheetId="26" r:id="rId16"/>
    <sheet name="ריבוי תנאים" sheetId="32" r:id="rId17"/>
  </sheets>
  <externalReferences>
    <externalReference r:id="rId18"/>
    <externalReference r:id="rId19"/>
    <externalReference r:id="rId20"/>
    <externalReference r:id="rId21"/>
  </externalReferences>
  <definedNames>
    <definedName name="_xlnm._FilterDatabase" localSheetId="4" hidden="1">AverageIf!$K$1:$K$26</definedName>
    <definedName name="_xlnm._FilterDatabase" localSheetId="15" hidden="1">Dsum!$A$1:$Q$28</definedName>
    <definedName name="_xlnm._FilterDatabase" localSheetId="6" hidden="1">'חתירה למטרה 2'!$A$1:$L$267</definedName>
    <definedName name="_xlnm._FilterDatabase" localSheetId="8" hidden="1">'סינון מתקדם1'!$A$1:$Q$28</definedName>
    <definedName name="_xlnm._FilterDatabase" localSheetId="11" hidden="1">'סינון מתקדם2'!$A$1:$G$58</definedName>
    <definedName name="_xlnm._FilterDatabase" localSheetId="1" hidden="1">'פעמיים VLOOKUP'!$A$1:$N$28</definedName>
    <definedName name="_xlnm._FilterDatabase" localSheetId="16" hidden="1">'ריבוי תנאים'!$A$1:$G$58</definedName>
    <definedName name="_xlnm.Criteria" localSheetId="15">Dsum!$R$2:$T$6</definedName>
    <definedName name="_xlnm.Criteria" localSheetId="8">'סינון מתקדם1'!$U$30:$W$34</definedName>
    <definedName name="_xlnm.Criteria" localSheetId="11">'סינון מתקדם2'!$AA$7:$AD$13</definedName>
    <definedName name="_xlnm.Criteria" localSheetId="1">'פעמיים VLOOKUP'!$S$30:$T$32</definedName>
    <definedName name="_xlnm.Criteria" localSheetId="16">'ריבוי תנאים'!$K$19:$N$25</definedName>
    <definedName name="_xlnm.Extract" localSheetId="4">AverageIf!$S$1</definedName>
    <definedName name="_xlnm.Extract" localSheetId="15">Dsum!$P$31:$Q$31</definedName>
    <definedName name="_xlnm.Extract" localSheetId="6">'[1]נתונים נוספים'!$B$10</definedName>
    <definedName name="_xlnm.Extract" localSheetId="8">'סינון מתקדם1'!$T$38:$U$38</definedName>
    <definedName name="_xlnm.Extract" localSheetId="11">'סינון מתקדם2'!$X$1:$Y$1</definedName>
    <definedName name="_xlnm.Extract" localSheetId="1">'פעמיים VLOOKUP'!$A$36:$I$36</definedName>
    <definedName name="_xlnm.Extract" localSheetId="16">'ריבוי תנאים'!$M$31:$O$31</definedName>
    <definedName name="grades">#REF!</definedName>
    <definedName name="מחיר_משקאות">#REF!</definedName>
    <definedName name="מחיר_פופקורן">#REF!</definedName>
    <definedName name="שם_פרטי">#REF!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32" l="1"/>
  <c r="O36" i="26"/>
  <c r="I30" i="26"/>
  <c r="R31" i="29"/>
  <c r="R29" i="29"/>
  <c r="R21" i="29" a="1"/>
  <c r="R21" i="29" s="1"/>
  <c r="H38" i="13"/>
  <c r="H35" i="13"/>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2" i="31"/>
  <c r="Q25" i="6"/>
  <c r="T3" i="9"/>
  <c r="T4" i="9"/>
  <c r="T5" i="9"/>
  <c r="T6" i="9"/>
  <c r="T7" i="9"/>
  <c r="T8" i="9"/>
  <c r="T9" i="9"/>
  <c r="T10" i="9"/>
  <c r="T11" i="9"/>
  <c r="T12" i="9"/>
  <c r="T2" i="9"/>
  <c r="K3" i="1"/>
  <c r="K4" i="1"/>
  <c r="K5" i="1"/>
  <c r="K6" i="1"/>
  <c r="K7" i="1"/>
  <c r="K8" i="1"/>
  <c r="K9" i="1"/>
  <c r="K10" i="1"/>
  <c r="K11" i="1"/>
  <c r="K12" i="1"/>
  <c r="K13" i="1"/>
  <c r="K14" i="1"/>
  <c r="K15" i="1"/>
  <c r="K16" i="1"/>
  <c r="K17" i="1"/>
  <c r="K18" i="1"/>
  <c r="K19" i="1"/>
  <c r="K20" i="1"/>
  <c r="K21" i="1"/>
  <c r="K22" i="1"/>
  <c r="K23" i="1"/>
  <c r="K24" i="1"/>
  <c r="K25" i="1"/>
  <c r="K26" i="1"/>
  <c r="K2" i="1"/>
  <c r="R34" i="1"/>
  <c r="N3" i="2"/>
  <c r="N4" i="2"/>
  <c r="N5" i="2"/>
  <c r="N6" i="2"/>
  <c r="N7" i="2"/>
  <c r="N8" i="2"/>
  <c r="N9" i="2"/>
  <c r="N10" i="2"/>
  <c r="N11" i="2"/>
  <c r="N12" i="2"/>
  <c r="N13" i="2"/>
  <c r="N14" i="2"/>
  <c r="N15" i="2"/>
  <c r="N16" i="2"/>
  <c r="N17" i="2"/>
  <c r="N18" i="2"/>
  <c r="N19" i="2"/>
  <c r="N20" i="2"/>
  <c r="N21" i="2"/>
  <c r="N22" i="2"/>
  <c r="N23" i="2"/>
  <c r="N24" i="2"/>
  <c r="N25" i="2"/>
  <c r="N26" i="2"/>
  <c r="N27" i="2"/>
  <c r="N2" i="2"/>
  <c r="O3" i="2"/>
  <c r="O4" i="2"/>
  <c r="O5" i="2"/>
  <c r="O6" i="2"/>
  <c r="O7" i="2"/>
  <c r="O8" i="2"/>
  <c r="O9" i="2"/>
  <c r="O10" i="2"/>
  <c r="O11" i="2"/>
  <c r="O12" i="2"/>
  <c r="O13" i="2"/>
  <c r="O14" i="2"/>
  <c r="O15" i="2"/>
  <c r="O16" i="2"/>
  <c r="O17" i="2"/>
  <c r="O18" i="2"/>
  <c r="O19" i="2"/>
  <c r="O20" i="2"/>
  <c r="O21" i="2"/>
  <c r="O22" i="2"/>
  <c r="O23" i="2"/>
  <c r="O24" i="2"/>
  <c r="O25" i="2"/>
  <c r="O26" i="2"/>
  <c r="O27" i="2"/>
  <c r="O28" i="2"/>
  <c r="O2" i="2"/>
  <c r="N3" i="1"/>
  <c r="N4" i="1"/>
  <c r="N5" i="1"/>
  <c r="N6" i="1"/>
  <c r="N7" i="1"/>
  <c r="N8" i="1"/>
  <c r="N9" i="1"/>
  <c r="N10" i="1"/>
  <c r="N11" i="1"/>
  <c r="N12" i="1"/>
  <c r="N13" i="1"/>
  <c r="N14" i="1"/>
  <c r="N15" i="1"/>
  <c r="N16" i="1"/>
  <c r="N17" i="1"/>
  <c r="N18" i="1"/>
  <c r="N19" i="1"/>
  <c r="N20" i="1"/>
  <c r="N21" i="1"/>
  <c r="N22" i="1"/>
  <c r="N23" i="1"/>
  <c r="N24" i="1"/>
  <c r="N25" i="1"/>
  <c r="N26" i="1"/>
  <c r="N27" i="1"/>
  <c r="N2" i="1"/>
  <c r="J3" i="19"/>
  <c r="J4" i="19"/>
  <c r="J5" i="19"/>
  <c r="J6" i="19"/>
  <c r="J7" i="19"/>
  <c r="J8" i="19"/>
  <c r="J9" i="19"/>
  <c r="J10" i="19"/>
  <c r="J11" i="19"/>
  <c r="J12" i="19"/>
  <c r="J13" i="19"/>
  <c r="J14" i="19"/>
  <c r="J15" i="19"/>
  <c r="J16" i="19"/>
  <c r="J17" i="19"/>
  <c r="J18" i="19"/>
  <c r="J19" i="19"/>
  <c r="J20" i="19"/>
  <c r="J21" i="19"/>
  <c r="J22" i="19"/>
  <c r="J23" i="19"/>
  <c r="J24" i="19"/>
  <c r="J25" i="19"/>
  <c r="J26" i="19"/>
  <c r="J27" i="19"/>
  <c r="J28" i="19"/>
  <c r="J2" i="19"/>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H5" i="32"/>
  <c r="H4" i="32"/>
  <c r="H3" i="32"/>
  <c r="H2"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I25" i="32" s="1"/>
  <c r="G24" i="32"/>
  <c r="I24" i="32" s="1"/>
  <c r="G23" i="32"/>
  <c r="I23" i="32" s="1"/>
  <c r="G22" i="32"/>
  <c r="I22" i="32" s="1"/>
  <c r="G21" i="32"/>
  <c r="I21" i="32" s="1"/>
  <c r="G20" i="32"/>
  <c r="I20" i="32" s="1"/>
  <c r="G19" i="32"/>
  <c r="I19" i="32" s="1"/>
  <c r="G18" i="32"/>
  <c r="I18" i="32" s="1"/>
  <c r="G17" i="32"/>
  <c r="I17" i="32" s="1"/>
  <c r="G16" i="32"/>
  <c r="I16" i="32" s="1"/>
  <c r="G15" i="32"/>
  <c r="I15" i="32" s="1"/>
  <c r="G14" i="32"/>
  <c r="I14" i="32" s="1"/>
  <c r="G13" i="32"/>
  <c r="I13" i="32" s="1"/>
  <c r="G12" i="32"/>
  <c r="I12" i="32" s="1"/>
  <c r="G11" i="32"/>
  <c r="I11" i="32" s="1"/>
  <c r="G10" i="32"/>
  <c r="I10" i="32" s="1"/>
  <c r="G9" i="32"/>
  <c r="I9" i="32" s="1"/>
  <c r="G8" i="32"/>
  <c r="I8" i="32" s="1"/>
  <c r="G7" i="32"/>
  <c r="I7" i="32" s="1"/>
  <c r="G6" i="32"/>
  <c r="I6" i="32" s="1"/>
  <c r="G5" i="32"/>
  <c r="I5" i="32" s="1"/>
  <c r="G4" i="32"/>
  <c r="I4" i="32" s="1"/>
  <c r="G3" i="32"/>
  <c r="I3" i="32" s="1"/>
  <c r="I2" i="32"/>
  <c r="R25" i="29" l="1"/>
  <c r="R24" i="29"/>
  <c r="R23" i="29"/>
  <c r="R22" i="29"/>
  <c r="N26" i="29"/>
  <c r="M26" i="29"/>
  <c r="L26" i="29"/>
  <c r="K26" i="29"/>
  <c r="J26" i="29"/>
  <c r="I26" i="29"/>
  <c r="N25" i="29"/>
  <c r="M25" i="29"/>
  <c r="L25" i="29"/>
  <c r="K25" i="29"/>
  <c r="J25" i="29"/>
  <c r="I25" i="29"/>
  <c r="N24" i="29"/>
  <c r="M24" i="29"/>
  <c r="L24" i="29"/>
  <c r="K24" i="29"/>
  <c r="J24" i="29"/>
  <c r="I24" i="29"/>
  <c r="N23" i="29"/>
  <c r="M23" i="29"/>
  <c r="L23" i="29"/>
  <c r="K23" i="29"/>
  <c r="J23" i="29"/>
  <c r="I23" i="29"/>
  <c r="N22" i="29"/>
  <c r="M22" i="29"/>
  <c r="L22" i="29"/>
  <c r="K22" i="29"/>
  <c r="J22" i="29"/>
  <c r="I22" i="29"/>
  <c r="N21" i="29"/>
  <c r="M21" i="29"/>
  <c r="L21" i="29"/>
  <c r="K21" i="29"/>
  <c r="J21" i="29"/>
  <c r="I21" i="29"/>
  <c r="N20" i="29"/>
  <c r="M20" i="29"/>
  <c r="L20" i="29"/>
  <c r="K20" i="29"/>
  <c r="J20" i="29"/>
  <c r="I20" i="29"/>
  <c r="N19" i="29"/>
  <c r="M19" i="29"/>
  <c r="L19" i="29"/>
  <c r="K19" i="29"/>
  <c r="J19" i="29"/>
  <c r="I19" i="29"/>
  <c r="N18" i="29"/>
  <c r="M18" i="29"/>
  <c r="L18" i="29"/>
  <c r="K18" i="29"/>
  <c r="J18" i="29"/>
  <c r="I18" i="29"/>
  <c r="N17" i="29"/>
  <c r="M17" i="29"/>
  <c r="L17" i="29"/>
  <c r="K17" i="29"/>
  <c r="J17" i="29"/>
  <c r="I17" i="29"/>
  <c r="N16" i="29"/>
  <c r="M16" i="29"/>
  <c r="L16" i="29"/>
  <c r="K16" i="29"/>
  <c r="J16" i="29"/>
  <c r="I16" i="29"/>
  <c r="N15" i="29"/>
  <c r="M15" i="29"/>
  <c r="L15" i="29"/>
  <c r="K15" i="29"/>
  <c r="J15" i="29"/>
  <c r="I15" i="29"/>
  <c r="N14" i="29"/>
  <c r="M14" i="29"/>
  <c r="L14" i="29"/>
  <c r="K14" i="29"/>
  <c r="J14" i="29"/>
  <c r="I14" i="29"/>
  <c r="N13" i="29"/>
  <c r="M13" i="29"/>
  <c r="L13" i="29"/>
  <c r="K13" i="29"/>
  <c r="J13" i="29"/>
  <c r="I13" i="29"/>
  <c r="N12" i="29"/>
  <c r="M12" i="29"/>
  <c r="L12" i="29"/>
  <c r="K12" i="29"/>
  <c r="J12" i="29"/>
  <c r="I12" i="29"/>
  <c r="N11" i="29"/>
  <c r="M11" i="29"/>
  <c r="L11" i="29"/>
  <c r="K11" i="29"/>
  <c r="J11" i="29"/>
  <c r="I11" i="29"/>
  <c r="N10" i="29"/>
  <c r="M10" i="29"/>
  <c r="L10" i="29"/>
  <c r="K10" i="29"/>
  <c r="J10" i="29"/>
  <c r="I10" i="29"/>
  <c r="N9" i="29"/>
  <c r="M9" i="29"/>
  <c r="L9" i="29"/>
  <c r="K9" i="29"/>
  <c r="J9" i="29"/>
  <c r="I9" i="29"/>
  <c r="N8" i="29"/>
  <c r="M8" i="29"/>
  <c r="L8" i="29"/>
  <c r="K8" i="29"/>
  <c r="J8" i="29"/>
  <c r="I8" i="29"/>
  <c r="N7" i="29"/>
  <c r="M7" i="29"/>
  <c r="L7" i="29"/>
  <c r="K7" i="29"/>
  <c r="J7" i="29"/>
  <c r="I7" i="29"/>
  <c r="N6" i="29"/>
  <c r="M6" i="29"/>
  <c r="L6" i="29"/>
  <c r="K6" i="29"/>
  <c r="J6" i="29"/>
  <c r="I6" i="29"/>
  <c r="N5" i="29"/>
  <c r="M5" i="29"/>
  <c r="L5" i="29"/>
  <c r="K5" i="29"/>
  <c r="J5" i="29"/>
  <c r="I5" i="29"/>
  <c r="N4" i="29"/>
  <c r="M4" i="29"/>
  <c r="L4" i="29"/>
  <c r="K4" i="29"/>
  <c r="J4" i="29"/>
  <c r="I4" i="29"/>
  <c r="N3" i="29"/>
  <c r="M3" i="29"/>
  <c r="L3" i="29"/>
  <c r="K3" i="29"/>
  <c r="J3" i="29"/>
  <c r="I3" i="29"/>
  <c r="N2" i="29"/>
  <c r="M2" i="29"/>
  <c r="M46" i="29" s="1"/>
  <c r="L2" i="29"/>
  <c r="L31" i="29" s="1"/>
  <c r="K2" i="29"/>
  <c r="J2" i="29"/>
  <c r="I2" i="29"/>
  <c r="R5" i="27" l="1"/>
  <c r="R6" i="27"/>
  <c r="R7" i="27"/>
  <c r="R8" i="27"/>
  <c r="R9" i="27"/>
  <c r="R10" i="27"/>
  <c r="R4" i="27"/>
  <c r="D21" i="28"/>
  <c r="D20" i="28"/>
  <c r="D19" i="28"/>
  <c r="D18" i="28"/>
  <c r="D17" i="28"/>
  <c r="D16" i="28"/>
  <c r="D15" i="28"/>
  <c r="D14" i="28"/>
  <c r="D13" i="28"/>
  <c r="D12" i="28"/>
  <c r="D11" i="28"/>
  <c r="D10" i="28"/>
  <c r="D9" i="28"/>
  <c r="D8" i="28"/>
  <c r="D7" i="28"/>
  <c r="D6" i="28"/>
  <c r="D5" i="28"/>
  <c r="D4" i="28"/>
  <c r="D3" i="28"/>
  <c r="D2" i="28"/>
  <c r="Q4" i="27"/>
  <c r="Q5" i="27"/>
  <c r="Q6" i="27"/>
  <c r="Q7" i="27"/>
  <c r="Q8" i="27"/>
  <c r="Q9" i="27"/>
  <c r="Q10" i="27"/>
  <c r="I29" i="27"/>
  <c r="L267" i="27"/>
  <c r="K267" i="27"/>
  <c r="J267" i="27"/>
  <c r="I267" i="27"/>
  <c r="K266" i="27"/>
  <c r="J266" i="27"/>
  <c r="I266" i="27"/>
  <c r="L266" i="27" s="1"/>
  <c r="L265" i="27"/>
  <c r="K265" i="27"/>
  <c r="J265" i="27"/>
  <c r="I265" i="27"/>
  <c r="K264" i="27"/>
  <c r="J264" i="27"/>
  <c r="I264" i="27"/>
  <c r="L264" i="27" s="1"/>
  <c r="L263" i="27"/>
  <c r="K263" i="27"/>
  <c r="J263" i="27"/>
  <c r="I263" i="27"/>
  <c r="K262" i="27"/>
  <c r="J262" i="27"/>
  <c r="I262" i="27"/>
  <c r="L262" i="27" s="1"/>
  <c r="L261" i="27"/>
  <c r="K261" i="27"/>
  <c r="J261" i="27"/>
  <c r="I261" i="27"/>
  <c r="K260" i="27"/>
  <c r="J260" i="27"/>
  <c r="I260" i="27"/>
  <c r="L260" i="27" s="1"/>
  <c r="L259" i="27"/>
  <c r="K259" i="27"/>
  <c r="J259" i="27"/>
  <c r="I259" i="27"/>
  <c r="K258" i="27"/>
  <c r="J258" i="27"/>
  <c r="I258" i="27"/>
  <c r="L258" i="27" s="1"/>
  <c r="L257" i="27"/>
  <c r="K257" i="27"/>
  <c r="J257" i="27"/>
  <c r="I257" i="27"/>
  <c r="K256" i="27"/>
  <c r="J256" i="27"/>
  <c r="I256" i="27"/>
  <c r="L256" i="27" s="1"/>
  <c r="L255" i="27"/>
  <c r="K255" i="27"/>
  <c r="J255" i="27"/>
  <c r="I255" i="27"/>
  <c r="K254" i="27"/>
  <c r="J254" i="27"/>
  <c r="I254" i="27"/>
  <c r="L254" i="27" s="1"/>
  <c r="L253" i="27"/>
  <c r="K253" i="27"/>
  <c r="J253" i="27"/>
  <c r="I253" i="27"/>
  <c r="K252" i="27"/>
  <c r="J252" i="27"/>
  <c r="I252" i="27"/>
  <c r="L252" i="27" s="1"/>
  <c r="L251" i="27"/>
  <c r="K251" i="27"/>
  <c r="J251" i="27"/>
  <c r="I251" i="27"/>
  <c r="K250" i="27"/>
  <c r="J250" i="27"/>
  <c r="I250" i="27"/>
  <c r="L250" i="27" s="1"/>
  <c r="L249" i="27"/>
  <c r="K249" i="27"/>
  <c r="J249" i="27"/>
  <c r="I249" i="27"/>
  <c r="K248" i="27"/>
  <c r="J248" i="27"/>
  <c r="I248" i="27"/>
  <c r="L248" i="27" s="1"/>
  <c r="L247" i="27"/>
  <c r="K247" i="27"/>
  <c r="J247" i="27"/>
  <c r="I247" i="27"/>
  <c r="K246" i="27"/>
  <c r="J246" i="27"/>
  <c r="I246" i="27"/>
  <c r="L246" i="27" s="1"/>
  <c r="L245" i="27"/>
  <c r="K245" i="27"/>
  <c r="J245" i="27"/>
  <c r="I245" i="27"/>
  <c r="K244" i="27"/>
  <c r="J244" i="27"/>
  <c r="I244" i="27"/>
  <c r="L244" i="27" s="1"/>
  <c r="L243" i="27"/>
  <c r="K243" i="27"/>
  <c r="J243" i="27"/>
  <c r="I243" i="27"/>
  <c r="K242" i="27"/>
  <c r="J242" i="27"/>
  <c r="I242" i="27"/>
  <c r="L242" i="27" s="1"/>
  <c r="L241" i="27"/>
  <c r="K241" i="27"/>
  <c r="J241" i="27"/>
  <c r="I241" i="27"/>
  <c r="K240" i="27"/>
  <c r="J240" i="27"/>
  <c r="I240" i="27"/>
  <c r="L240" i="27" s="1"/>
  <c r="L239" i="27"/>
  <c r="K239" i="27"/>
  <c r="J239" i="27"/>
  <c r="I239" i="27"/>
  <c r="K238" i="27"/>
  <c r="J238" i="27"/>
  <c r="I238" i="27"/>
  <c r="L238" i="27" s="1"/>
  <c r="L237" i="27"/>
  <c r="K237" i="27"/>
  <c r="J237" i="27"/>
  <c r="I237" i="27"/>
  <c r="K236" i="27"/>
  <c r="J236" i="27"/>
  <c r="I236" i="27"/>
  <c r="L236" i="27" s="1"/>
  <c r="L235" i="27"/>
  <c r="K235" i="27"/>
  <c r="J235" i="27"/>
  <c r="I235" i="27"/>
  <c r="K234" i="27"/>
  <c r="J234" i="27"/>
  <c r="I234" i="27"/>
  <c r="L234" i="27" s="1"/>
  <c r="L233" i="27"/>
  <c r="K233" i="27"/>
  <c r="J233" i="27"/>
  <c r="I233" i="27"/>
  <c r="K232" i="27"/>
  <c r="J232" i="27"/>
  <c r="I232" i="27"/>
  <c r="L232" i="27" s="1"/>
  <c r="L231" i="27"/>
  <c r="K231" i="27"/>
  <c r="J231" i="27"/>
  <c r="I231" i="27"/>
  <c r="K230" i="27"/>
  <c r="J230" i="27"/>
  <c r="I230" i="27"/>
  <c r="L230" i="27" s="1"/>
  <c r="L229" i="27"/>
  <c r="K229" i="27"/>
  <c r="J229" i="27"/>
  <c r="I229" i="27"/>
  <c r="K228" i="27"/>
  <c r="J228" i="27"/>
  <c r="I228" i="27"/>
  <c r="L228" i="27" s="1"/>
  <c r="L227" i="27"/>
  <c r="K227" i="27"/>
  <c r="J227" i="27"/>
  <c r="I227" i="27"/>
  <c r="K226" i="27"/>
  <c r="J226" i="27"/>
  <c r="I226" i="27"/>
  <c r="L226" i="27" s="1"/>
  <c r="L225" i="27"/>
  <c r="K225" i="27"/>
  <c r="J225" i="27"/>
  <c r="I225" i="27"/>
  <c r="K224" i="27"/>
  <c r="J224" i="27"/>
  <c r="I224" i="27"/>
  <c r="L224" i="27" s="1"/>
  <c r="L223" i="27"/>
  <c r="K223" i="27"/>
  <c r="J223" i="27"/>
  <c r="I223" i="27"/>
  <c r="K222" i="27"/>
  <c r="J222" i="27"/>
  <c r="I222" i="27"/>
  <c r="L222" i="27" s="1"/>
  <c r="L221" i="27"/>
  <c r="K221" i="27"/>
  <c r="J221" i="27"/>
  <c r="I221" i="27"/>
  <c r="K220" i="27"/>
  <c r="J220" i="27"/>
  <c r="I220" i="27"/>
  <c r="L220" i="27" s="1"/>
  <c r="L219" i="27"/>
  <c r="K219" i="27"/>
  <c r="J219" i="27"/>
  <c r="I219" i="27"/>
  <c r="K218" i="27"/>
  <c r="J218" i="27"/>
  <c r="I218" i="27"/>
  <c r="L218" i="27" s="1"/>
  <c r="L217" i="27"/>
  <c r="K217" i="27"/>
  <c r="J217" i="27"/>
  <c r="I217" i="27"/>
  <c r="K216" i="27"/>
  <c r="J216" i="27"/>
  <c r="I216" i="27"/>
  <c r="L216" i="27" s="1"/>
  <c r="L215" i="27"/>
  <c r="K215" i="27"/>
  <c r="J215" i="27"/>
  <c r="I215" i="27"/>
  <c r="K214" i="27"/>
  <c r="J214" i="27"/>
  <c r="I214" i="27"/>
  <c r="L214" i="27" s="1"/>
  <c r="L213" i="27"/>
  <c r="K213" i="27"/>
  <c r="J213" i="27"/>
  <c r="I213" i="27"/>
  <c r="K212" i="27"/>
  <c r="J212" i="27"/>
  <c r="I212" i="27"/>
  <c r="L212" i="27" s="1"/>
  <c r="L211" i="27"/>
  <c r="K211" i="27"/>
  <c r="J211" i="27"/>
  <c r="I211" i="27"/>
  <c r="K210" i="27"/>
  <c r="J210" i="27"/>
  <c r="I210" i="27"/>
  <c r="L210" i="27" s="1"/>
  <c r="L209" i="27"/>
  <c r="K209" i="27"/>
  <c r="J209" i="27"/>
  <c r="I209" i="27"/>
  <c r="K208" i="27"/>
  <c r="J208" i="27"/>
  <c r="I208" i="27"/>
  <c r="L208" i="27" s="1"/>
  <c r="L207" i="27"/>
  <c r="K207" i="27"/>
  <c r="J207" i="27"/>
  <c r="I207" i="27"/>
  <c r="K206" i="27"/>
  <c r="J206" i="27"/>
  <c r="I206" i="27"/>
  <c r="L206" i="27" s="1"/>
  <c r="L205" i="27"/>
  <c r="K205" i="27"/>
  <c r="J205" i="27"/>
  <c r="I205" i="27"/>
  <c r="K204" i="27"/>
  <c r="J204" i="27"/>
  <c r="I204" i="27"/>
  <c r="L204" i="27" s="1"/>
  <c r="L203" i="27"/>
  <c r="K203" i="27"/>
  <c r="J203" i="27"/>
  <c r="I203" i="27"/>
  <c r="K202" i="27"/>
  <c r="J202" i="27"/>
  <c r="I202" i="27"/>
  <c r="L202" i="27" s="1"/>
  <c r="L201" i="27"/>
  <c r="K201" i="27"/>
  <c r="J201" i="27"/>
  <c r="I201" i="27"/>
  <c r="K200" i="27"/>
  <c r="J200" i="27"/>
  <c r="I200" i="27"/>
  <c r="L200" i="27" s="1"/>
  <c r="L199" i="27"/>
  <c r="K199" i="27"/>
  <c r="J199" i="27"/>
  <c r="I199" i="27"/>
  <c r="K198" i="27"/>
  <c r="J198" i="27"/>
  <c r="I198" i="27"/>
  <c r="L198" i="27" s="1"/>
  <c r="L197" i="27"/>
  <c r="K197" i="27"/>
  <c r="J197" i="27"/>
  <c r="I197" i="27"/>
  <c r="K196" i="27"/>
  <c r="J196" i="27"/>
  <c r="I196" i="27"/>
  <c r="L196" i="27" s="1"/>
  <c r="L195" i="27"/>
  <c r="K195" i="27"/>
  <c r="J195" i="27"/>
  <c r="I195" i="27"/>
  <c r="K194" i="27"/>
  <c r="J194" i="27"/>
  <c r="I194" i="27"/>
  <c r="L194" i="27" s="1"/>
  <c r="L193" i="27"/>
  <c r="K193" i="27"/>
  <c r="J193" i="27"/>
  <c r="I193" i="27"/>
  <c r="K192" i="27"/>
  <c r="J192" i="27"/>
  <c r="I192" i="27"/>
  <c r="L192" i="27" s="1"/>
  <c r="L191" i="27"/>
  <c r="K191" i="27"/>
  <c r="J191" i="27"/>
  <c r="I191" i="27"/>
  <c r="K190" i="27"/>
  <c r="J190" i="27"/>
  <c r="I190" i="27"/>
  <c r="L190" i="27" s="1"/>
  <c r="L189" i="27"/>
  <c r="K189" i="27"/>
  <c r="J189" i="27"/>
  <c r="I189" i="27"/>
  <c r="K188" i="27"/>
  <c r="J188" i="27"/>
  <c r="I188" i="27"/>
  <c r="L188" i="27" s="1"/>
  <c r="L187" i="27"/>
  <c r="K187" i="27"/>
  <c r="J187" i="27"/>
  <c r="I187" i="27"/>
  <c r="K186" i="27"/>
  <c r="J186" i="27"/>
  <c r="I186" i="27"/>
  <c r="L186" i="27" s="1"/>
  <c r="L185" i="27"/>
  <c r="K185" i="27"/>
  <c r="J185" i="27"/>
  <c r="I185" i="27"/>
  <c r="K184" i="27"/>
  <c r="J184" i="27"/>
  <c r="I184" i="27"/>
  <c r="L184" i="27" s="1"/>
  <c r="L183" i="27"/>
  <c r="K183" i="27"/>
  <c r="J183" i="27"/>
  <c r="I183" i="27"/>
  <c r="K182" i="27"/>
  <c r="J182" i="27"/>
  <c r="I182" i="27"/>
  <c r="L182" i="27" s="1"/>
  <c r="L181" i="27"/>
  <c r="K181" i="27"/>
  <c r="J181" i="27"/>
  <c r="I181" i="27"/>
  <c r="K180" i="27"/>
  <c r="J180" i="27"/>
  <c r="I180" i="27"/>
  <c r="L180" i="27" s="1"/>
  <c r="L179" i="27"/>
  <c r="K179" i="27"/>
  <c r="J179" i="27"/>
  <c r="I179" i="27"/>
  <c r="K178" i="27"/>
  <c r="J178" i="27"/>
  <c r="I178" i="27"/>
  <c r="L178" i="27" s="1"/>
  <c r="L177" i="27"/>
  <c r="K177" i="27"/>
  <c r="J177" i="27"/>
  <c r="I177" i="27"/>
  <c r="K176" i="27"/>
  <c r="J176" i="27"/>
  <c r="I176" i="27"/>
  <c r="L176" i="27" s="1"/>
  <c r="L175" i="27"/>
  <c r="K175" i="27"/>
  <c r="J175" i="27"/>
  <c r="I175" i="27"/>
  <c r="K174" i="27"/>
  <c r="J174" i="27"/>
  <c r="I174" i="27"/>
  <c r="L174" i="27" s="1"/>
  <c r="L173" i="27"/>
  <c r="K173" i="27"/>
  <c r="J173" i="27"/>
  <c r="I173" i="27"/>
  <c r="K172" i="27"/>
  <c r="J172" i="27"/>
  <c r="I172" i="27"/>
  <c r="L172" i="27" s="1"/>
  <c r="L171" i="27"/>
  <c r="K171" i="27"/>
  <c r="J171" i="27"/>
  <c r="I171" i="27"/>
  <c r="K170" i="27"/>
  <c r="J170" i="27"/>
  <c r="I170" i="27"/>
  <c r="L170" i="27" s="1"/>
  <c r="L169" i="27"/>
  <c r="K169" i="27"/>
  <c r="J169" i="27"/>
  <c r="I169" i="27"/>
  <c r="K168" i="27"/>
  <c r="J168" i="27"/>
  <c r="I168" i="27"/>
  <c r="L168" i="27" s="1"/>
  <c r="L167" i="27"/>
  <c r="K167" i="27"/>
  <c r="J167" i="27"/>
  <c r="I167" i="27"/>
  <c r="K166" i="27"/>
  <c r="J166" i="27"/>
  <c r="I166" i="27"/>
  <c r="L166" i="27" s="1"/>
  <c r="L165" i="27"/>
  <c r="K165" i="27"/>
  <c r="J165" i="27"/>
  <c r="I165" i="27"/>
  <c r="K164" i="27"/>
  <c r="J164" i="27"/>
  <c r="I164" i="27"/>
  <c r="L164" i="27" s="1"/>
  <c r="L163" i="27"/>
  <c r="K163" i="27"/>
  <c r="J163" i="27"/>
  <c r="I163" i="27"/>
  <c r="K162" i="27"/>
  <c r="J162" i="27"/>
  <c r="I162" i="27"/>
  <c r="L162" i="27" s="1"/>
  <c r="L161" i="27"/>
  <c r="K161" i="27"/>
  <c r="J161" i="27"/>
  <c r="I161" i="27"/>
  <c r="K160" i="27"/>
  <c r="J160" i="27"/>
  <c r="I160" i="27"/>
  <c r="L160" i="27" s="1"/>
  <c r="L159" i="27"/>
  <c r="K159" i="27"/>
  <c r="J159" i="27"/>
  <c r="I159" i="27"/>
  <c r="K158" i="27"/>
  <c r="J158" i="27"/>
  <c r="I158" i="27"/>
  <c r="L158" i="27" s="1"/>
  <c r="L157" i="27"/>
  <c r="K157" i="27"/>
  <c r="J157" i="27"/>
  <c r="I157" i="27"/>
  <c r="K156" i="27"/>
  <c r="J156" i="27"/>
  <c r="I156" i="27"/>
  <c r="L156" i="27" s="1"/>
  <c r="L155" i="27"/>
  <c r="K155" i="27"/>
  <c r="J155" i="27"/>
  <c r="I155" i="27"/>
  <c r="K154" i="27"/>
  <c r="J154" i="27"/>
  <c r="I154" i="27"/>
  <c r="L154" i="27" s="1"/>
  <c r="L153" i="27"/>
  <c r="K153" i="27"/>
  <c r="J153" i="27"/>
  <c r="I153" i="27"/>
  <c r="K152" i="27"/>
  <c r="J152" i="27"/>
  <c r="I152" i="27"/>
  <c r="L152" i="27" s="1"/>
  <c r="L151" i="27"/>
  <c r="K151" i="27"/>
  <c r="J151" i="27"/>
  <c r="I151" i="27"/>
  <c r="K150" i="27"/>
  <c r="J150" i="27"/>
  <c r="I150" i="27"/>
  <c r="L150" i="27" s="1"/>
  <c r="L149" i="27"/>
  <c r="K149" i="27"/>
  <c r="J149" i="27"/>
  <c r="I149" i="27"/>
  <c r="K148" i="27"/>
  <c r="J148" i="27"/>
  <c r="I148" i="27"/>
  <c r="L148" i="27" s="1"/>
  <c r="L147" i="27"/>
  <c r="K147" i="27"/>
  <c r="J147" i="27"/>
  <c r="I147" i="27"/>
  <c r="K146" i="27"/>
  <c r="J146" i="27"/>
  <c r="I146" i="27"/>
  <c r="L146" i="27" s="1"/>
  <c r="L145" i="27"/>
  <c r="K145" i="27"/>
  <c r="J145" i="27"/>
  <c r="I145" i="27"/>
  <c r="K144" i="27"/>
  <c r="J144" i="27"/>
  <c r="I144" i="27"/>
  <c r="L144" i="27" s="1"/>
  <c r="L143" i="27"/>
  <c r="K143" i="27"/>
  <c r="J143" i="27"/>
  <c r="I143" i="27"/>
  <c r="K142" i="27"/>
  <c r="J142" i="27"/>
  <c r="I142" i="27"/>
  <c r="L142" i="27" s="1"/>
  <c r="L141" i="27"/>
  <c r="K141" i="27"/>
  <c r="J141" i="27"/>
  <c r="I141" i="27"/>
  <c r="K140" i="27"/>
  <c r="J140" i="27"/>
  <c r="I140" i="27"/>
  <c r="L140" i="27" s="1"/>
  <c r="L139" i="27"/>
  <c r="K139" i="27"/>
  <c r="J139" i="27"/>
  <c r="I139" i="27"/>
  <c r="K138" i="27"/>
  <c r="J138" i="27"/>
  <c r="I138" i="27"/>
  <c r="L138" i="27" s="1"/>
  <c r="L137" i="27"/>
  <c r="K137" i="27"/>
  <c r="J137" i="27"/>
  <c r="I137" i="27"/>
  <c r="K136" i="27"/>
  <c r="J136" i="27"/>
  <c r="I136" i="27"/>
  <c r="L136" i="27" s="1"/>
  <c r="L135" i="27"/>
  <c r="K135" i="27"/>
  <c r="J135" i="27"/>
  <c r="I135" i="27"/>
  <c r="K134" i="27"/>
  <c r="J134" i="27"/>
  <c r="I134" i="27"/>
  <c r="L134" i="27" s="1"/>
  <c r="L133" i="27"/>
  <c r="K133" i="27"/>
  <c r="J133" i="27"/>
  <c r="I133" i="27"/>
  <c r="K132" i="27"/>
  <c r="J132" i="27"/>
  <c r="I132" i="27"/>
  <c r="L132" i="27" s="1"/>
  <c r="L131" i="27"/>
  <c r="K131" i="27"/>
  <c r="J131" i="27"/>
  <c r="I131" i="27"/>
  <c r="K130" i="27"/>
  <c r="J130" i="27"/>
  <c r="I130" i="27"/>
  <c r="L130" i="27" s="1"/>
  <c r="L129" i="27"/>
  <c r="K129" i="27"/>
  <c r="J129" i="27"/>
  <c r="I129" i="27"/>
  <c r="K128" i="27"/>
  <c r="J128" i="27"/>
  <c r="I128" i="27"/>
  <c r="L128" i="27" s="1"/>
  <c r="L127" i="27"/>
  <c r="K127" i="27"/>
  <c r="J127" i="27"/>
  <c r="I127" i="27"/>
  <c r="K126" i="27"/>
  <c r="J126" i="27"/>
  <c r="I126" i="27"/>
  <c r="L126" i="27" s="1"/>
  <c r="L125" i="27"/>
  <c r="K125" i="27"/>
  <c r="J125" i="27"/>
  <c r="I125" i="27"/>
  <c r="K124" i="27"/>
  <c r="J124" i="27"/>
  <c r="I124" i="27"/>
  <c r="L124" i="27" s="1"/>
  <c r="L123" i="27"/>
  <c r="K123" i="27"/>
  <c r="J123" i="27"/>
  <c r="I123" i="27"/>
  <c r="K122" i="27"/>
  <c r="J122" i="27"/>
  <c r="I122" i="27"/>
  <c r="L122" i="27" s="1"/>
  <c r="L121" i="27"/>
  <c r="K121" i="27"/>
  <c r="J121" i="27"/>
  <c r="I121" i="27"/>
  <c r="K120" i="27"/>
  <c r="J120" i="27"/>
  <c r="I120" i="27"/>
  <c r="L120" i="27" s="1"/>
  <c r="L119" i="27"/>
  <c r="K119" i="27"/>
  <c r="J119" i="27"/>
  <c r="I119" i="27"/>
  <c r="K118" i="27"/>
  <c r="J118" i="27"/>
  <c r="I118" i="27"/>
  <c r="L118" i="27" s="1"/>
  <c r="L117" i="27"/>
  <c r="K117" i="27"/>
  <c r="J117" i="27"/>
  <c r="I117" i="27"/>
  <c r="K116" i="27"/>
  <c r="J116" i="27"/>
  <c r="I116" i="27"/>
  <c r="L116" i="27" s="1"/>
  <c r="L115" i="27"/>
  <c r="K115" i="27"/>
  <c r="J115" i="27"/>
  <c r="I115" i="27"/>
  <c r="K114" i="27"/>
  <c r="J114" i="27"/>
  <c r="I114" i="27"/>
  <c r="L114" i="27" s="1"/>
  <c r="L113" i="27"/>
  <c r="K113" i="27"/>
  <c r="J113" i="27"/>
  <c r="I113" i="27"/>
  <c r="K112" i="27"/>
  <c r="J112" i="27"/>
  <c r="I112" i="27"/>
  <c r="L112" i="27" s="1"/>
  <c r="L111" i="27"/>
  <c r="K111" i="27"/>
  <c r="J111" i="27"/>
  <c r="I111" i="27"/>
  <c r="K110" i="27"/>
  <c r="J110" i="27"/>
  <c r="I110" i="27"/>
  <c r="L110" i="27" s="1"/>
  <c r="L109" i="27"/>
  <c r="K109" i="27"/>
  <c r="J109" i="27"/>
  <c r="I109" i="27"/>
  <c r="K108" i="27"/>
  <c r="J108" i="27"/>
  <c r="I108" i="27"/>
  <c r="L108" i="27" s="1"/>
  <c r="L107" i="27"/>
  <c r="K107" i="27"/>
  <c r="J107" i="27"/>
  <c r="I107" i="27"/>
  <c r="K106" i="27"/>
  <c r="J106" i="27"/>
  <c r="I106" i="27"/>
  <c r="L106" i="27" s="1"/>
  <c r="L105" i="27"/>
  <c r="K105" i="27"/>
  <c r="J105" i="27"/>
  <c r="I105" i="27"/>
  <c r="K104" i="27"/>
  <c r="J104" i="27"/>
  <c r="I104" i="27"/>
  <c r="L104" i="27" s="1"/>
  <c r="L103" i="27"/>
  <c r="K103" i="27"/>
  <c r="J103" i="27"/>
  <c r="I103" i="27"/>
  <c r="K102" i="27"/>
  <c r="J102" i="27"/>
  <c r="I102" i="27"/>
  <c r="L102" i="27" s="1"/>
  <c r="L101" i="27"/>
  <c r="K101" i="27"/>
  <c r="J101" i="27"/>
  <c r="I101" i="27"/>
  <c r="K100" i="27"/>
  <c r="J100" i="27"/>
  <c r="I100" i="27"/>
  <c r="L100" i="27" s="1"/>
  <c r="L99" i="27"/>
  <c r="K99" i="27"/>
  <c r="J99" i="27"/>
  <c r="I99" i="27"/>
  <c r="K98" i="27"/>
  <c r="J98" i="27"/>
  <c r="I98" i="27"/>
  <c r="L98" i="27" s="1"/>
  <c r="L97" i="27"/>
  <c r="K97" i="27"/>
  <c r="J97" i="27"/>
  <c r="I97" i="27"/>
  <c r="L96" i="27"/>
  <c r="K96" i="27"/>
  <c r="J96" i="27"/>
  <c r="I96" i="27"/>
  <c r="L95" i="27"/>
  <c r="K95" i="27"/>
  <c r="J95" i="27"/>
  <c r="I95" i="27"/>
  <c r="L94" i="27"/>
  <c r="K94" i="27"/>
  <c r="J94" i="27"/>
  <c r="I94" i="27"/>
  <c r="L93" i="27"/>
  <c r="K93" i="27"/>
  <c r="J93" i="27"/>
  <c r="I93" i="27"/>
  <c r="L92" i="27"/>
  <c r="K92" i="27"/>
  <c r="J92" i="27"/>
  <c r="I92" i="27"/>
  <c r="L91" i="27"/>
  <c r="K91" i="27"/>
  <c r="J91" i="27"/>
  <c r="I91" i="27"/>
  <c r="L90" i="27"/>
  <c r="K90" i="27"/>
  <c r="J90" i="27"/>
  <c r="I90" i="27"/>
  <c r="L89" i="27"/>
  <c r="K89" i="27"/>
  <c r="J89" i="27"/>
  <c r="I89" i="27"/>
  <c r="L88" i="27"/>
  <c r="K88" i="27"/>
  <c r="J88" i="27"/>
  <c r="I88" i="27"/>
  <c r="L87" i="27"/>
  <c r="K87" i="27"/>
  <c r="J87" i="27"/>
  <c r="I87" i="27"/>
  <c r="L86" i="27"/>
  <c r="K86" i="27"/>
  <c r="J86" i="27"/>
  <c r="I86" i="27"/>
  <c r="L85" i="27"/>
  <c r="K85" i="27"/>
  <c r="J85" i="27"/>
  <c r="I85" i="27"/>
  <c r="L84" i="27"/>
  <c r="K84" i="27"/>
  <c r="J84" i="27"/>
  <c r="I84" i="27"/>
  <c r="L83" i="27"/>
  <c r="K83" i="27"/>
  <c r="J83" i="27"/>
  <c r="I83" i="27"/>
  <c r="L82" i="27"/>
  <c r="K82" i="27"/>
  <c r="J82" i="27"/>
  <c r="I82" i="27"/>
  <c r="L81" i="27"/>
  <c r="K81" i="27"/>
  <c r="J81" i="27"/>
  <c r="I81" i="27"/>
  <c r="L80" i="27"/>
  <c r="K80" i="27"/>
  <c r="J80" i="27"/>
  <c r="I80" i="27"/>
  <c r="L79" i="27"/>
  <c r="K79" i="27"/>
  <c r="J79" i="27"/>
  <c r="I79" i="27"/>
  <c r="L78" i="27"/>
  <c r="K78" i="27"/>
  <c r="J78" i="27"/>
  <c r="I78" i="27"/>
  <c r="L77" i="27"/>
  <c r="K77" i="27"/>
  <c r="J77" i="27"/>
  <c r="I77" i="27"/>
  <c r="L76" i="27"/>
  <c r="K76" i="27"/>
  <c r="J76" i="27"/>
  <c r="I76" i="27"/>
  <c r="L75" i="27"/>
  <c r="K75" i="27"/>
  <c r="J75" i="27"/>
  <c r="I75" i="27"/>
  <c r="L74" i="27"/>
  <c r="K74" i="27"/>
  <c r="J74" i="27"/>
  <c r="I74" i="27"/>
  <c r="L73" i="27"/>
  <c r="K73" i="27"/>
  <c r="J73" i="27"/>
  <c r="I73" i="27"/>
  <c r="L72" i="27"/>
  <c r="K72" i="27"/>
  <c r="J72" i="27"/>
  <c r="I72" i="27"/>
  <c r="L71" i="27"/>
  <c r="K71" i="27"/>
  <c r="J71" i="27"/>
  <c r="I71" i="27"/>
  <c r="L70" i="27"/>
  <c r="K70" i="27"/>
  <c r="J70" i="27"/>
  <c r="I70" i="27"/>
  <c r="L69" i="27"/>
  <c r="K69" i="27"/>
  <c r="J69" i="27"/>
  <c r="I69" i="27"/>
  <c r="L68" i="27"/>
  <c r="K68" i="27"/>
  <c r="J68" i="27"/>
  <c r="I68" i="27"/>
  <c r="L67" i="27"/>
  <c r="K67" i="27"/>
  <c r="J67" i="27"/>
  <c r="I67" i="27"/>
  <c r="L66" i="27"/>
  <c r="K66" i="27"/>
  <c r="J66" i="27"/>
  <c r="I66" i="27"/>
  <c r="L65" i="27"/>
  <c r="K65" i="27"/>
  <c r="J65" i="27"/>
  <c r="I65" i="27"/>
  <c r="L64" i="27"/>
  <c r="K64" i="27"/>
  <c r="J64" i="27"/>
  <c r="I64" i="27"/>
  <c r="K63" i="27"/>
  <c r="J63" i="27"/>
  <c r="I63" i="27"/>
  <c r="L63" i="27" s="1"/>
  <c r="L62" i="27"/>
  <c r="K62" i="27"/>
  <c r="J62" i="27"/>
  <c r="I62" i="27"/>
  <c r="K61" i="27"/>
  <c r="J61" i="27"/>
  <c r="I61" i="27"/>
  <c r="L61" i="27" s="1"/>
  <c r="L60" i="27"/>
  <c r="K60" i="27"/>
  <c r="J60" i="27"/>
  <c r="I60" i="27"/>
  <c r="K59" i="27"/>
  <c r="J59" i="27"/>
  <c r="I59" i="27"/>
  <c r="L59" i="27" s="1"/>
  <c r="L58" i="27"/>
  <c r="K58" i="27"/>
  <c r="J58" i="27"/>
  <c r="I58" i="27"/>
  <c r="K57" i="27"/>
  <c r="J57" i="27"/>
  <c r="I57" i="27"/>
  <c r="L57" i="27" s="1"/>
  <c r="L56" i="27"/>
  <c r="K56" i="27"/>
  <c r="J56" i="27"/>
  <c r="I56" i="27"/>
  <c r="K55" i="27"/>
  <c r="J55" i="27"/>
  <c r="I55" i="27"/>
  <c r="L55" i="27" s="1"/>
  <c r="L54" i="27"/>
  <c r="K54" i="27"/>
  <c r="J54" i="27"/>
  <c r="I54" i="27"/>
  <c r="K53" i="27"/>
  <c r="J53" i="27"/>
  <c r="I53" i="27"/>
  <c r="L53" i="27" s="1"/>
  <c r="L52" i="27"/>
  <c r="K52" i="27"/>
  <c r="J52" i="27"/>
  <c r="I52" i="27"/>
  <c r="K51" i="27"/>
  <c r="J51" i="27"/>
  <c r="I51" i="27"/>
  <c r="L51" i="27" s="1"/>
  <c r="L50" i="27"/>
  <c r="K50" i="27"/>
  <c r="J50" i="27"/>
  <c r="I50" i="27"/>
  <c r="K49" i="27"/>
  <c r="J49" i="27"/>
  <c r="I49" i="27"/>
  <c r="L49" i="27" s="1"/>
  <c r="L48" i="27"/>
  <c r="K48" i="27"/>
  <c r="J48" i="27"/>
  <c r="I48" i="27"/>
  <c r="K47" i="27"/>
  <c r="J47" i="27"/>
  <c r="I47" i="27"/>
  <c r="L47" i="27" s="1"/>
  <c r="L46" i="27"/>
  <c r="K46" i="27"/>
  <c r="J46" i="27"/>
  <c r="I46" i="27"/>
  <c r="K45" i="27"/>
  <c r="J45" i="27"/>
  <c r="I45" i="27"/>
  <c r="L45" i="27" s="1"/>
  <c r="L44" i="27"/>
  <c r="K44" i="27"/>
  <c r="J44" i="27"/>
  <c r="I44" i="27"/>
  <c r="K43" i="27"/>
  <c r="J43" i="27"/>
  <c r="I43" i="27"/>
  <c r="L43" i="27" s="1"/>
  <c r="L42" i="27"/>
  <c r="K42" i="27"/>
  <c r="J42" i="27"/>
  <c r="I42" i="27"/>
  <c r="K41" i="27"/>
  <c r="J41" i="27"/>
  <c r="I41" i="27"/>
  <c r="L41" i="27" s="1"/>
  <c r="L40" i="27"/>
  <c r="K40" i="27"/>
  <c r="J40" i="27"/>
  <c r="I40" i="27"/>
  <c r="K39" i="27"/>
  <c r="J39" i="27"/>
  <c r="I39" i="27"/>
  <c r="L39" i="27" s="1"/>
  <c r="L38" i="27"/>
  <c r="K38" i="27"/>
  <c r="J38" i="27"/>
  <c r="I38" i="27"/>
  <c r="K37" i="27"/>
  <c r="J37" i="27"/>
  <c r="I37" i="27"/>
  <c r="L37" i="27" s="1"/>
  <c r="L36" i="27"/>
  <c r="K36" i="27"/>
  <c r="J36" i="27"/>
  <c r="I36" i="27"/>
  <c r="K35" i="27"/>
  <c r="J35" i="27"/>
  <c r="I35" i="27"/>
  <c r="L35" i="27" s="1"/>
  <c r="L34" i="27"/>
  <c r="K34" i="27"/>
  <c r="J34" i="27"/>
  <c r="I34" i="27"/>
  <c r="K33" i="27"/>
  <c r="J33" i="27"/>
  <c r="I33" i="27"/>
  <c r="L33" i="27" s="1"/>
  <c r="L32" i="27"/>
  <c r="K32" i="27"/>
  <c r="J32" i="27"/>
  <c r="I32" i="27"/>
  <c r="K31" i="27"/>
  <c r="J31" i="27"/>
  <c r="I31" i="27"/>
  <c r="L31" i="27" s="1"/>
  <c r="L30" i="27"/>
  <c r="K30" i="27"/>
  <c r="J30" i="27"/>
  <c r="I30" i="27"/>
  <c r="K29" i="27"/>
  <c r="J29" i="27"/>
  <c r="L29" i="27"/>
  <c r="L28" i="27"/>
  <c r="K28" i="27"/>
  <c r="J28" i="27"/>
  <c r="I28" i="27"/>
  <c r="K27" i="27"/>
  <c r="J27" i="27"/>
  <c r="I27" i="27"/>
  <c r="L27" i="27" s="1"/>
  <c r="L26" i="27"/>
  <c r="K26" i="27"/>
  <c r="J26" i="27"/>
  <c r="I26" i="27"/>
  <c r="K25" i="27"/>
  <c r="J25" i="27"/>
  <c r="I25" i="27"/>
  <c r="L25" i="27" s="1"/>
  <c r="L24" i="27"/>
  <c r="K24" i="27"/>
  <c r="J24" i="27"/>
  <c r="I24" i="27"/>
  <c r="K23" i="27"/>
  <c r="J23" i="27"/>
  <c r="I23" i="27"/>
  <c r="L23" i="27" s="1"/>
  <c r="L22" i="27"/>
  <c r="K22" i="27"/>
  <c r="J22" i="27"/>
  <c r="I22" i="27"/>
  <c r="K21" i="27"/>
  <c r="J21" i="27"/>
  <c r="I21" i="27"/>
  <c r="L21" i="27" s="1"/>
  <c r="L20" i="27"/>
  <c r="K20" i="27"/>
  <c r="J20" i="27"/>
  <c r="I20" i="27"/>
  <c r="K19" i="27"/>
  <c r="J19" i="27"/>
  <c r="I19" i="27"/>
  <c r="L19" i="27" s="1"/>
  <c r="L18" i="27"/>
  <c r="K18" i="27"/>
  <c r="J18" i="27"/>
  <c r="I18" i="27"/>
  <c r="K17" i="27"/>
  <c r="J17" i="27"/>
  <c r="I17" i="27"/>
  <c r="L17" i="27" s="1"/>
  <c r="L16" i="27"/>
  <c r="K16" i="27"/>
  <c r="J16" i="27"/>
  <c r="I16" i="27"/>
  <c r="K15" i="27"/>
  <c r="J15" i="27"/>
  <c r="I15" i="27"/>
  <c r="L15" i="27" s="1"/>
  <c r="L14" i="27"/>
  <c r="K14" i="27"/>
  <c r="J14" i="27"/>
  <c r="I14" i="27"/>
  <c r="K13" i="27"/>
  <c r="J13" i="27"/>
  <c r="I13" i="27"/>
  <c r="L13" i="27" s="1"/>
  <c r="K12" i="27"/>
  <c r="J12" i="27"/>
  <c r="I12" i="27"/>
  <c r="L12" i="27" s="1"/>
  <c r="K11" i="27"/>
  <c r="J11" i="27"/>
  <c r="I11" i="27"/>
  <c r="L11" i="27" s="1"/>
  <c r="K10" i="27"/>
  <c r="J10" i="27"/>
  <c r="I10" i="27"/>
  <c r="L10" i="27" s="1"/>
  <c r="K9" i="27"/>
  <c r="J9" i="27"/>
  <c r="I9" i="27"/>
  <c r="L9" i="27" s="1"/>
  <c r="L8" i="27"/>
  <c r="K8" i="27"/>
  <c r="J8" i="27"/>
  <c r="I8" i="27"/>
  <c r="K7" i="27"/>
  <c r="J7" i="27"/>
  <c r="I7" i="27"/>
  <c r="K6" i="27"/>
  <c r="J6" i="27"/>
  <c r="I6" i="27"/>
  <c r="K5" i="27"/>
  <c r="J5" i="27"/>
  <c r="I5" i="27"/>
  <c r="L5" i="27" s="1"/>
  <c r="L4" i="27"/>
  <c r="K4" i="27"/>
  <c r="J4" i="27"/>
  <c r="I4" i="27"/>
  <c r="K3" i="27"/>
  <c r="J3" i="27"/>
  <c r="I3" i="27"/>
  <c r="L3" i="27" s="1"/>
  <c r="L2" i="27"/>
  <c r="K2" i="27"/>
  <c r="J2" i="27"/>
  <c r="I2" i="27"/>
  <c r="P13" i="27" l="1"/>
  <c r="D23" i="28"/>
  <c r="L7" i="27"/>
  <c r="L6" i="27"/>
  <c r="O28" i="26" l="1"/>
  <c r="P28" i="26" s="1"/>
  <c r="Q28" i="26" s="1"/>
  <c r="K28" i="26"/>
  <c r="M28" i="26" s="1"/>
  <c r="N28" i="26" s="1"/>
  <c r="J28" i="26"/>
  <c r="O27" i="26"/>
  <c r="P27" i="26" s="1"/>
  <c r="Q27" i="26" s="1"/>
  <c r="K27" i="26"/>
  <c r="M27" i="26" s="1"/>
  <c r="N27" i="26" s="1"/>
  <c r="J27" i="26"/>
  <c r="O26" i="26"/>
  <c r="P26" i="26" s="1"/>
  <c r="Q26" i="26" s="1"/>
  <c r="K26" i="26"/>
  <c r="M26" i="26" s="1"/>
  <c r="N26" i="26" s="1"/>
  <c r="J26" i="26"/>
  <c r="O25" i="26"/>
  <c r="P25" i="26" s="1"/>
  <c r="Q25" i="26" s="1"/>
  <c r="K25" i="26"/>
  <c r="M25" i="26" s="1"/>
  <c r="N25" i="26" s="1"/>
  <c r="J25" i="26"/>
  <c r="O24" i="26"/>
  <c r="P24" i="26" s="1"/>
  <c r="Q24" i="26" s="1"/>
  <c r="K24" i="26"/>
  <c r="M24" i="26" s="1"/>
  <c r="N24" i="26" s="1"/>
  <c r="J24" i="26"/>
  <c r="O23" i="26"/>
  <c r="P23" i="26" s="1"/>
  <c r="Q23" i="26" s="1"/>
  <c r="K23" i="26"/>
  <c r="M23" i="26" s="1"/>
  <c r="N23" i="26" s="1"/>
  <c r="J23" i="26"/>
  <c r="O22" i="26"/>
  <c r="P22" i="26" s="1"/>
  <c r="Q22" i="26" s="1"/>
  <c r="K22" i="26"/>
  <c r="L22" i="26" s="1"/>
  <c r="J22" i="26"/>
  <c r="O21" i="26"/>
  <c r="P21" i="26" s="1"/>
  <c r="Q21" i="26" s="1"/>
  <c r="K21" i="26"/>
  <c r="M21" i="26" s="1"/>
  <c r="N21" i="26" s="1"/>
  <c r="J21" i="26"/>
  <c r="O20" i="26"/>
  <c r="P20" i="26" s="1"/>
  <c r="Q20" i="26" s="1"/>
  <c r="M20" i="26"/>
  <c r="N20" i="26" s="1"/>
  <c r="K20" i="26"/>
  <c r="L20" i="26" s="1"/>
  <c r="J20" i="26"/>
  <c r="O19" i="26"/>
  <c r="P19" i="26" s="1"/>
  <c r="Q19" i="26" s="1"/>
  <c r="K19" i="26"/>
  <c r="M19" i="26" s="1"/>
  <c r="N19" i="26" s="1"/>
  <c r="J19" i="26"/>
  <c r="O18" i="26"/>
  <c r="P18" i="26" s="1"/>
  <c r="Q18" i="26" s="1"/>
  <c r="L18" i="26"/>
  <c r="K18" i="26"/>
  <c r="M18" i="26" s="1"/>
  <c r="N18" i="26" s="1"/>
  <c r="J18" i="26"/>
  <c r="O17" i="26"/>
  <c r="P17" i="26" s="1"/>
  <c r="Q17" i="26" s="1"/>
  <c r="K17" i="26"/>
  <c r="M17" i="26" s="1"/>
  <c r="N17" i="26" s="1"/>
  <c r="J17" i="26"/>
  <c r="O16" i="26"/>
  <c r="P16" i="26" s="1"/>
  <c r="Q16" i="26" s="1"/>
  <c r="K16" i="26"/>
  <c r="M16" i="26" s="1"/>
  <c r="N16" i="26" s="1"/>
  <c r="J16" i="26"/>
  <c r="O15" i="26"/>
  <c r="P15" i="26" s="1"/>
  <c r="Q15" i="26" s="1"/>
  <c r="K15" i="26"/>
  <c r="M15" i="26" s="1"/>
  <c r="N15" i="26" s="1"/>
  <c r="J15" i="26"/>
  <c r="O14" i="26"/>
  <c r="P14" i="26" s="1"/>
  <c r="Q14" i="26" s="1"/>
  <c r="M14" i="26"/>
  <c r="N14" i="26" s="1"/>
  <c r="K14" i="26"/>
  <c r="L14" i="26" s="1"/>
  <c r="J14" i="26"/>
  <c r="O13" i="26"/>
  <c r="P13" i="26" s="1"/>
  <c r="Q13" i="26" s="1"/>
  <c r="K13" i="26"/>
  <c r="L13" i="26" s="1"/>
  <c r="J13" i="26"/>
  <c r="O12" i="26"/>
  <c r="P12" i="26" s="1"/>
  <c r="Q12" i="26" s="1"/>
  <c r="K12" i="26"/>
  <c r="M12" i="26" s="1"/>
  <c r="N12" i="26" s="1"/>
  <c r="J12" i="26"/>
  <c r="O11" i="26"/>
  <c r="P11" i="26" s="1"/>
  <c r="Q11" i="26" s="1"/>
  <c r="K11" i="26"/>
  <c r="M11" i="26" s="1"/>
  <c r="N11" i="26" s="1"/>
  <c r="J11" i="26"/>
  <c r="O10" i="26"/>
  <c r="P10" i="26" s="1"/>
  <c r="Q10" i="26" s="1"/>
  <c r="K10" i="26"/>
  <c r="M10" i="26" s="1"/>
  <c r="N10" i="26" s="1"/>
  <c r="J10" i="26"/>
  <c r="O9" i="26"/>
  <c r="P9" i="26" s="1"/>
  <c r="Q9" i="26" s="1"/>
  <c r="K9" i="26"/>
  <c r="M9" i="26" s="1"/>
  <c r="N9" i="26" s="1"/>
  <c r="J9" i="26"/>
  <c r="O8" i="26"/>
  <c r="P8" i="26" s="1"/>
  <c r="Q8" i="26" s="1"/>
  <c r="K8" i="26"/>
  <c r="M8" i="26" s="1"/>
  <c r="N8" i="26" s="1"/>
  <c r="J8" i="26"/>
  <c r="O7" i="26"/>
  <c r="P7" i="26" s="1"/>
  <c r="Q7" i="26" s="1"/>
  <c r="K7" i="26"/>
  <c r="M7" i="26" s="1"/>
  <c r="N7" i="26" s="1"/>
  <c r="J7" i="26"/>
  <c r="O6" i="26"/>
  <c r="P6" i="26" s="1"/>
  <c r="Q6" i="26" s="1"/>
  <c r="K6" i="26"/>
  <c r="L6" i="26" s="1"/>
  <c r="J6" i="26"/>
  <c r="O5" i="26"/>
  <c r="P5" i="26" s="1"/>
  <c r="Q5" i="26" s="1"/>
  <c r="M5" i="26"/>
  <c r="N5" i="26" s="1"/>
  <c r="K5" i="26"/>
  <c r="L5" i="26" s="1"/>
  <c r="J5" i="26"/>
  <c r="O4" i="26"/>
  <c r="P4" i="26" s="1"/>
  <c r="Q4" i="26" s="1"/>
  <c r="K4" i="26"/>
  <c r="M4" i="26" s="1"/>
  <c r="N4" i="26" s="1"/>
  <c r="J4" i="26"/>
  <c r="O3" i="26"/>
  <c r="P3" i="26" s="1"/>
  <c r="Q3" i="26" s="1"/>
  <c r="K3" i="26"/>
  <c r="M3" i="26" s="1"/>
  <c r="N3" i="26" s="1"/>
  <c r="J3" i="26"/>
  <c r="O2" i="26"/>
  <c r="P2" i="26" s="1"/>
  <c r="Q2" i="26" s="1"/>
  <c r="K2" i="26"/>
  <c r="L2" i="26" s="1"/>
  <c r="J2" i="26"/>
  <c r="L12" i="26" l="1"/>
  <c r="L10" i="26"/>
  <c r="L4" i="26"/>
  <c r="M6" i="26"/>
  <c r="M13" i="26"/>
  <c r="N13" i="26" s="1"/>
  <c r="M22" i="26"/>
  <c r="N22" i="26" s="1"/>
  <c r="L25" i="26"/>
  <c r="L27" i="26"/>
  <c r="L9" i="26"/>
  <c r="L11" i="26"/>
  <c r="L17" i="26"/>
  <c r="L19" i="26"/>
  <c r="L21" i="26"/>
  <c r="L3" i="26"/>
  <c r="L26" i="26"/>
  <c r="L8" i="26"/>
  <c r="L16" i="26"/>
  <c r="L24" i="26"/>
  <c r="M2" i="26"/>
  <c r="N2" i="26" s="1"/>
  <c r="L7" i="26"/>
  <c r="L15" i="26"/>
  <c r="L23" i="26"/>
  <c r="L28" i="26"/>
  <c r="N6" i="26" l="1"/>
  <c r="J2" i="20" l="1"/>
  <c r="K2" i="20"/>
  <c r="L2" i="20" s="1"/>
  <c r="O2" i="20"/>
  <c r="P2" i="20" s="1"/>
  <c r="Q2" i="20" s="1"/>
  <c r="J3" i="20"/>
  <c r="K3" i="20"/>
  <c r="L3" i="20" s="1"/>
  <c r="O3" i="20"/>
  <c r="P3" i="20" s="1"/>
  <c r="Q3" i="20" s="1"/>
  <c r="J4" i="20"/>
  <c r="K4" i="20"/>
  <c r="L4" i="20" s="1"/>
  <c r="O4" i="20"/>
  <c r="P4" i="20" s="1"/>
  <c r="Q4" i="20" s="1"/>
  <c r="J5" i="20"/>
  <c r="K5" i="20"/>
  <c r="L5" i="20" s="1"/>
  <c r="O5" i="20"/>
  <c r="P5" i="20" s="1"/>
  <c r="Q5" i="20" s="1"/>
  <c r="J6" i="20"/>
  <c r="K6" i="20"/>
  <c r="L6" i="20" s="1"/>
  <c r="O6" i="20"/>
  <c r="P6" i="20" s="1"/>
  <c r="Q6" i="20" s="1"/>
  <c r="J7" i="20"/>
  <c r="K7" i="20"/>
  <c r="L7" i="20" s="1"/>
  <c r="O7" i="20"/>
  <c r="P7" i="20" s="1"/>
  <c r="Q7" i="20" s="1"/>
  <c r="J8" i="20"/>
  <c r="K8" i="20"/>
  <c r="L8" i="20" s="1"/>
  <c r="O8" i="20"/>
  <c r="P8" i="20" s="1"/>
  <c r="Q8" i="20" s="1"/>
  <c r="J9" i="20"/>
  <c r="K9" i="20"/>
  <c r="L9" i="20" s="1"/>
  <c r="O9" i="20"/>
  <c r="P9" i="20" s="1"/>
  <c r="Q9" i="20" s="1"/>
  <c r="J10" i="20"/>
  <c r="K10" i="20"/>
  <c r="L10" i="20" s="1"/>
  <c r="O10" i="20"/>
  <c r="P10" i="20" s="1"/>
  <c r="Q10" i="20" s="1"/>
  <c r="J11" i="20"/>
  <c r="K11" i="20"/>
  <c r="L11" i="20" s="1"/>
  <c r="O11" i="20"/>
  <c r="P11" i="20" s="1"/>
  <c r="Q11" i="20" s="1"/>
  <c r="J12" i="20"/>
  <c r="K12" i="20"/>
  <c r="L12" i="20" s="1"/>
  <c r="O12" i="20"/>
  <c r="P12" i="20" s="1"/>
  <c r="Q12" i="20" s="1"/>
  <c r="J13" i="20"/>
  <c r="K13" i="20"/>
  <c r="L13" i="20" s="1"/>
  <c r="O13" i="20"/>
  <c r="P13" i="20" s="1"/>
  <c r="Q13" i="20" s="1"/>
  <c r="J14" i="20"/>
  <c r="K14" i="20"/>
  <c r="L14" i="20" s="1"/>
  <c r="O14" i="20"/>
  <c r="P14" i="20" s="1"/>
  <c r="Q14" i="20" s="1"/>
  <c r="J15" i="20"/>
  <c r="K15" i="20"/>
  <c r="L15" i="20" s="1"/>
  <c r="O15" i="20"/>
  <c r="P15" i="20" s="1"/>
  <c r="Q15" i="20" s="1"/>
  <c r="J16" i="20"/>
  <c r="K16" i="20"/>
  <c r="L16" i="20" s="1"/>
  <c r="O16" i="20"/>
  <c r="P16" i="20" s="1"/>
  <c r="Q16" i="20" s="1"/>
  <c r="J17" i="20"/>
  <c r="K17" i="20"/>
  <c r="L17" i="20" s="1"/>
  <c r="O17" i="20"/>
  <c r="P17" i="20" s="1"/>
  <c r="Q17" i="20" s="1"/>
  <c r="J18" i="20"/>
  <c r="K18" i="20"/>
  <c r="L18" i="20" s="1"/>
  <c r="O18" i="20"/>
  <c r="P18" i="20" s="1"/>
  <c r="Q18" i="20" s="1"/>
  <c r="J19" i="20"/>
  <c r="K19" i="20"/>
  <c r="L19" i="20" s="1"/>
  <c r="O19" i="20"/>
  <c r="P19" i="20" s="1"/>
  <c r="Q19" i="20" s="1"/>
  <c r="J20" i="20"/>
  <c r="K20" i="20"/>
  <c r="L20" i="20" s="1"/>
  <c r="O20" i="20"/>
  <c r="P20" i="20" s="1"/>
  <c r="Q20" i="20" s="1"/>
  <c r="J21" i="20"/>
  <c r="K21" i="20"/>
  <c r="L21" i="20" s="1"/>
  <c r="O21" i="20"/>
  <c r="P21" i="20" s="1"/>
  <c r="Q21" i="20" s="1"/>
  <c r="J22" i="20"/>
  <c r="K22" i="20"/>
  <c r="L22" i="20" s="1"/>
  <c r="O22" i="20"/>
  <c r="P22" i="20" s="1"/>
  <c r="Q22" i="20" s="1"/>
  <c r="J23" i="20"/>
  <c r="K23" i="20"/>
  <c r="L23" i="20" s="1"/>
  <c r="O23" i="20"/>
  <c r="P23" i="20" s="1"/>
  <c r="Q23" i="20" s="1"/>
  <c r="J24" i="20"/>
  <c r="K24" i="20"/>
  <c r="L24" i="20" s="1"/>
  <c r="O24" i="20"/>
  <c r="P24" i="20" s="1"/>
  <c r="Q24" i="20" s="1"/>
  <c r="J25" i="20"/>
  <c r="K25" i="20"/>
  <c r="L25" i="20" s="1"/>
  <c r="O25" i="20"/>
  <c r="P25" i="20" s="1"/>
  <c r="Q25" i="20" s="1"/>
  <c r="J26" i="20"/>
  <c r="K26" i="20"/>
  <c r="L26" i="20" s="1"/>
  <c r="O26" i="20"/>
  <c r="P26" i="20" s="1"/>
  <c r="Q26" i="20" s="1"/>
  <c r="J27" i="20"/>
  <c r="K27" i="20"/>
  <c r="L27" i="20" s="1"/>
  <c r="O27" i="20"/>
  <c r="P27" i="20" s="1"/>
  <c r="Q27" i="20" s="1"/>
  <c r="J28" i="20"/>
  <c r="K28" i="20"/>
  <c r="L28" i="20" s="1"/>
  <c r="O28" i="20"/>
  <c r="P28" i="20" s="1"/>
  <c r="Q28" i="20" s="1"/>
  <c r="M28" i="20" l="1"/>
  <c r="N28" i="20" s="1"/>
  <c r="M27" i="20"/>
  <c r="N27" i="20" s="1"/>
  <c r="M26" i="20"/>
  <c r="N26" i="20" s="1"/>
  <c r="M25" i="20"/>
  <c r="N25" i="20" s="1"/>
  <c r="M24" i="20"/>
  <c r="N24" i="20" s="1"/>
  <c r="M23" i="20"/>
  <c r="N23" i="20" s="1"/>
  <c r="M22" i="20"/>
  <c r="N22" i="20" s="1"/>
  <c r="M21" i="20"/>
  <c r="N21" i="20" s="1"/>
  <c r="M20" i="20"/>
  <c r="N20" i="20" s="1"/>
  <c r="M19" i="20"/>
  <c r="N19" i="20" s="1"/>
  <c r="M18" i="20"/>
  <c r="N18" i="20" s="1"/>
  <c r="M17" i="20"/>
  <c r="N17" i="20" s="1"/>
  <c r="M16" i="20"/>
  <c r="N16" i="20" s="1"/>
  <c r="M15" i="20"/>
  <c r="N15" i="20" s="1"/>
  <c r="M14" i="20"/>
  <c r="N14" i="20" s="1"/>
  <c r="M13" i="20"/>
  <c r="N13" i="20" s="1"/>
  <c r="M12" i="20"/>
  <c r="N12" i="20" s="1"/>
  <c r="M11" i="20"/>
  <c r="N11" i="20" s="1"/>
  <c r="M10" i="20"/>
  <c r="N10" i="20" s="1"/>
  <c r="M9" i="20"/>
  <c r="N9" i="20" s="1"/>
  <c r="M8" i="20"/>
  <c r="N8" i="20" s="1"/>
  <c r="M7" i="20"/>
  <c r="N7" i="20" s="1"/>
  <c r="M6" i="20"/>
  <c r="N6" i="20" s="1"/>
  <c r="M5" i="20"/>
  <c r="N5" i="20" s="1"/>
  <c r="M4" i="20"/>
  <c r="N4" i="20" s="1"/>
  <c r="M3" i="20"/>
  <c r="N3" i="20" s="1"/>
  <c r="M2" i="20"/>
  <c r="N2" i="20" s="1"/>
  <c r="M26" i="13" l="1"/>
  <c r="L26" i="13"/>
  <c r="K26" i="13"/>
  <c r="J26" i="13"/>
  <c r="I26" i="13"/>
  <c r="M25" i="13"/>
  <c r="L25" i="13"/>
  <c r="K25" i="13"/>
  <c r="J25" i="13"/>
  <c r="I25" i="13"/>
  <c r="M24" i="13"/>
  <c r="L24" i="13"/>
  <c r="K24" i="13"/>
  <c r="J24" i="13"/>
  <c r="I24" i="13"/>
  <c r="M23" i="13"/>
  <c r="L23" i="13"/>
  <c r="K23" i="13"/>
  <c r="J23" i="13"/>
  <c r="I23" i="13"/>
  <c r="M22" i="13"/>
  <c r="L22" i="13"/>
  <c r="K22" i="13"/>
  <c r="J22" i="13"/>
  <c r="I22" i="13"/>
  <c r="M21" i="13"/>
  <c r="L21" i="13"/>
  <c r="K21" i="13"/>
  <c r="J21" i="13"/>
  <c r="I21" i="13"/>
  <c r="M20" i="13"/>
  <c r="L20" i="13"/>
  <c r="K20" i="13"/>
  <c r="J20" i="13"/>
  <c r="I20" i="13"/>
  <c r="M19" i="13"/>
  <c r="L19" i="13"/>
  <c r="K19" i="13"/>
  <c r="J19" i="13"/>
  <c r="I19" i="13"/>
  <c r="M18" i="13"/>
  <c r="L18" i="13"/>
  <c r="K18" i="13"/>
  <c r="J18" i="13"/>
  <c r="I18" i="13"/>
  <c r="M17" i="13"/>
  <c r="L17" i="13"/>
  <c r="K17" i="13"/>
  <c r="J17" i="13"/>
  <c r="I17" i="13"/>
  <c r="M16" i="13"/>
  <c r="L16" i="13"/>
  <c r="K16" i="13"/>
  <c r="J16" i="13"/>
  <c r="I16" i="13"/>
  <c r="M15" i="13"/>
  <c r="L15" i="13"/>
  <c r="K15" i="13"/>
  <c r="J15" i="13"/>
  <c r="I15" i="13"/>
  <c r="M14" i="13"/>
  <c r="L14" i="13"/>
  <c r="K14" i="13"/>
  <c r="J14" i="13"/>
  <c r="I14" i="13"/>
  <c r="M13" i="13"/>
  <c r="L13" i="13"/>
  <c r="K13" i="13"/>
  <c r="J13" i="13"/>
  <c r="I13" i="13"/>
  <c r="M12" i="13"/>
  <c r="L12" i="13"/>
  <c r="K12" i="13"/>
  <c r="J12" i="13"/>
  <c r="I12" i="13"/>
  <c r="M11" i="13"/>
  <c r="L11" i="13"/>
  <c r="K11" i="13"/>
  <c r="J11" i="13"/>
  <c r="I11" i="13"/>
  <c r="M10" i="13"/>
  <c r="L10" i="13"/>
  <c r="K10" i="13"/>
  <c r="J10" i="13"/>
  <c r="I10" i="13"/>
  <c r="M9" i="13"/>
  <c r="L9" i="13"/>
  <c r="K9" i="13"/>
  <c r="J9" i="13"/>
  <c r="I9" i="13"/>
  <c r="M8" i="13"/>
  <c r="L8" i="13"/>
  <c r="K8" i="13"/>
  <c r="J8" i="13"/>
  <c r="I8" i="13"/>
  <c r="M7" i="13"/>
  <c r="L7" i="13"/>
  <c r="K7" i="13"/>
  <c r="J7" i="13"/>
  <c r="I7" i="13"/>
  <c r="M6" i="13"/>
  <c r="L6" i="13"/>
  <c r="K6" i="13"/>
  <c r="J6" i="13"/>
  <c r="I6" i="13"/>
  <c r="M5" i="13"/>
  <c r="L5" i="13"/>
  <c r="K5" i="13"/>
  <c r="J5" i="13"/>
  <c r="I5" i="13"/>
  <c r="M4" i="13"/>
  <c r="L4" i="13"/>
  <c r="K4" i="13"/>
  <c r="J4" i="13"/>
  <c r="I4" i="13"/>
  <c r="M3" i="13"/>
  <c r="L3" i="13"/>
  <c r="K3" i="13"/>
  <c r="J3" i="13"/>
  <c r="I3" i="13"/>
  <c r="M2" i="13"/>
  <c r="M46" i="13" s="1"/>
  <c r="L2" i="13"/>
  <c r="L31" i="13" s="1"/>
  <c r="K2" i="13"/>
  <c r="J2" i="13"/>
  <c r="I2" i="13"/>
  <c r="I2" i="9" l="1"/>
  <c r="J2" i="9"/>
  <c r="K2" i="9"/>
  <c r="I3" i="9"/>
  <c r="J3" i="9"/>
  <c r="K3" i="9"/>
  <c r="I4" i="9"/>
  <c r="J4" i="9"/>
  <c r="K4" i="9"/>
  <c r="I5" i="9"/>
  <c r="J5" i="9"/>
  <c r="K5" i="9"/>
  <c r="I6" i="9"/>
  <c r="J6" i="9"/>
  <c r="K6" i="9"/>
  <c r="I7" i="9"/>
  <c r="J7" i="9"/>
  <c r="K7" i="9"/>
  <c r="I8" i="9"/>
  <c r="J8" i="9"/>
  <c r="K8" i="9"/>
  <c r="I9" i="9"/>
  <c r="J9" i="9"/>
  <c r="K9" i="9"/>
  <c r="I10" i="9"/>
  <c r="J10" i="9"/>
  <c r="K10" i="9"/>
  <c r="I11" i="9"/>
  <c r="J11" i="9"/>
  <c r="K11" i="9"/>
  <c r="I12" i="9"/>
  <c r="J12" i="9"/>
  <c r="K12" i="9"/>
  <c r="I13" i="9"/>
  <c r="J13" i="9"/>
  <c r="K13" i="9"/>
  <c r="I14" i="9"/>
  <c r="J14" i="9"/>
  <c r="K14" i="9"/>
  <c r="I15" i="9"/>
  <c r="J15" i="9"/>
  <c r="K15" i="9"/>
  <c r="I16" i="9"/>
  <c r="J16" i="9"/>
  <c r="K16" i="9"/>
  <c r="I17" i="9"/>
  <c r="J17" i="9"/>
  <c r="K17" i="9"/>
  <c r="I18" i="9"/>
  <c r="J18" i="9"/>
  <c r="K18" i="9"/>
  <c r="I19" i="9"/>
  <c r="J19" i="9"/>
  <c r="K19" i="9"/>
  <c r="I20" i="9"/>
  <c r="J20" i="9"/>
  <c r="K20" i="9"/>
  <c r="I21" i="9"/>
  <c r="J21" i="9"/>
  <c r="K21" i="9"/>
  <c r="I22" i="9"/>
  <c r="J22" i="9"/>
  <c r="K22" i="9"/>
  <c r="I23" i="9"/>
  <c r="J23" i="9"/>
  <c r="K23" i="9"/>
  <c r="I24" i="9"/>
  <c r="J24" i="9"/>
  <c r="K24" i="9"/>
  <c r="I25" i="9"/>
  <c r="J25" i="9"/>
  <c r="K25" i="9"/>
  <c r="I26" i="9"/>
  <c r="J26" i="9"/>
  <c r="K26" i="9"/>
  <c r="B32" i="9"/>
  <c r="C32" i="9"/>
  <c r="B36" i="9" a="1"/>
  <c r="B38" i="9" s="1"/>
  <c r="N26" i="6"/>
  <c r="M26" i="6"/>
  <c r="L26" i="6"/>
  <c r="K26" i="6"/>
  <c r="J26" i="6"/>
  <c r="I26" i="6"/>
  <c r="N25" i="6"/>
  <c r="M25" i="6"/>
  <c r="L25" i="6"/>
  <c r="K25" i="6"/>
  <c r="J25" i="6"/>
  <c r="I25" i="6"/>
  <c r="N24" i="6"/>
  <c r="M24" i="6"/>
  <c r="L24" i="6"/>
  <c r="K24" i="6"/>
  <c r="J24" i="6"/>
  <c r="I24" i="6"/>
  <c r="N23" i="6"/>
  <c r="M23" i="6"/>
  <c r="L23" i="6"/>
  <c r="K23" i="6"/>
  <c r="J23" i="6"/>
  <c r="I23" i="6"/>
  <c r="N22" i="6"/>
  <c r="M22" i="6"/>
  <c r="L22" i="6"/>
  <c r="K22" i="6"/>
  <c r="J22" i="6"/>
  <c r="I22" i="6"/>
  <c r="N21" i="6"/>
  <c r="M21" i="6"/>
  <c r="L21" i="6"/>
  <c r="K21" i="6"/>
  <c r="J21" i="6"/>
  <c r="I21" i="6"/>
  <c r="N20" i="6"/>
  <c r="M20" i="6"/>
  <c r="L20" i="6"/>
  <c r="K20" i="6"/>
  <c r="J20" i="6"/>
  <c r="I20" i="6"/>
  <c r="N19" i="6"/>
  <c r="M19" i="6"/>
  <c r="L19" i="6"/>
  <c r="K19" i="6"/>
  <c r="J19" i="6"/>
  <c r="I19" i="6"/>
  <c r="N18" i="6"/>
  <c r="M18" i="6"/>
  <c r="L18" i="6"/>
  <c r="K18" i="6"/>
  <c r="J18" i="6"/>
  <c r="I18" i="6"/>
  <c r="N17" i="6"/>
  <c r="M17" i="6"/>
  <c r="L17" i="6"/>
  <c r="K17" i="6"/>
  <c r="J17" i="6"/>
  <c r="I17" i="6"/>
  <c r="N16" i="6"/>
  <c r="M16" i="6"/>
  <c r="L16" i="6"/>
  <c r="K16" i="6"/>
  <c r="J16" i="6"/>
  <c r="I16" i="6"/>
  <c r="N15" i="6"/>
  <c r="M15" i="6"/>
  <c r="L15" i="6"/>
  <c r="K15" i="6"/>
  <c r="J15" i="6"/>
  <c r="I15" i="6"/>
  <c r="N14" i="6"/>
  <c r="M14" i="6"/>
  <c r="L14" i="6"/>
  <c r="K14" i="6"/>
  <c r="J14" i="6"/>
  <c r="I14" i="6"/>
  <c r="N13" i="6"/>
  <c r="M13" i="6"/>
  <c r="L13" i="6"/>
  <c r="K13" i="6"/>
  <c r="J13" i="6"/>
  <c r="I13" i="6"/>
  <c r="N12" i="6"/>
  <c r="M12" i="6"/>
  <c r="L12" i="6"/>
  <c r="K12" i="6"/>
  <c r="J12" i="6"/>
  <c r="I12" i="6"/>
  <c r="N11" i="6"/>
  <c r="M11" i="6"/>
  <c r="L11" i="6"/>
  <c r="K11" i="6"/>
  <c r="J11" i="6"/>
  <c r="I11" i="6"/>
  <c r="N10" i="6"/>
  <c r="M10" i="6"/>
  <c r="L10" i="6"/>
  <c r="K10" i="6"/>
  <c r="J10" i="6"/>
  <c r="I10" i="6"/>
  <c r="N9" i="6"/>
  <c r="M9" i="6"/>
  <c r="L9" i="6"/>
  <c r="K9" i="6"/>
  <c r="J9" i="6"/>
  <c r="I9" i="6"/>
  <c r="N8" i="6"/>
  <c r="M8" i="6"/>
  <c r="L8" i="6"/>
  <c r="K8" i="6"/>
  <c r="J8" i="6"/>
  <c r="I8" i="6"/>
  <c r="N7" i="6"/>
  <c r="M7" i="6"/>
  <c r="L7" i="6"/>
  <c r="K7" i="6"/>
  <c r="J7" i="6"/>
  <c r="I7" i="6"/>
  <c r="N6" i="6"/>
  <c r="M6" i="6"/>
  <c r="L6" i="6"/>
  <c r="K6" i="6"/>
  <c r="J6" i="6"/>
  <c r="I6" i="6"/>
  <c r="N5" i="6"/>
  <c r="M5" i="6"/>
  <c r="L5" i="6"/>
  <c r="K5" i="6"/>
  <c r="J5" i="6"/>
  <c r="I5" i="6"/>
  <c r="N4" i="6"/>
  <c r="M4" i="6"/>
  <c r="L4" i="6"/>
  <c r="K4" i="6"/>
  <c r="J4" i="6"/>
  <c r="I4" i="6"/>
  <c r="N3" i="6"/>
  <c r="M3" i="6"/>
  <c r="L3" i="6"/>
  <c r="K3" i="6"/>
  <c r="J3" i="6"/>
  <c r="I3" i="6"/>
  <c r="N2" i="6"/>
  <c r="M2" i="6"/>
  <c r="L2" i="6"/>
  <c r="K2" i="6"/>
  <c r="J2" i="6"/>
  <c r="I2" i="6"/>
  <c r="L31" i="6" l="1"/>
  <c r="B37" i="9"/>
  <c r="B36" i="9"/>
  <c r="B40" i="9"/>
  <c r="B39" i="9"/>
  <c r="B42" i="9" l="1"/>
  <c r="J28" i="2" l="1"/>
  <c r="J27" i="2"/>
  <c r="J26" i="2"/>
  <c r="J25" i="2"/>
  <c r="J24" i="2"/>
  <c r="J23" i="2"/>
  <c r="J22" i="2"/>
  <c r="J21" i="2"/>
  <c r="J20" i="2"/>
  <c r="J19" i="2"/>
  <c r="J18" i="2"/>
  <c r="J17" i="2"/>
  <c r="J16" i="2"/>
  <c r="J15" i="2"/>
  <c r="J14" i="2"/>
  <c r="J13" i="2"/>
  <c r="J12" i="2"/>
  <c r="J11" i="2"/>
  <c r="J10" i="2"/>
  <c r="J9" i="2"/>
  <c r="J8" i="2"/>
  <c r="J7" i="2"/>
  <c r="J6" i="2"/>
  <c r="J5" i="2"/>
  <c r="J4" i="2"/>
  <c r="J3" i="2"/>
  <c r="J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Avi</author>
  </authors>
  <commentList>
    <comment ref="B32" authorId="0" shapeId="0" xr:uid="{00000000-0006-0000-0100-000001000000}">
      <text>
        <r>
          <rPr>
            <b/>
            <sz val="9"/>
            <color indexed="81"/>
            <rFont val="Tahoma"/>
            <family val="2"/>
          </rPr>
          <t>דרך 1: שימוש ב-index ו-match</t>
        </r>
      </text>
    </comment>
    <comment ref="C32" authorId="0" shapeId="0" xr:uid="{00000000-0006-0000-0100-000002000000}">
      <text>
        <r>
          <rPr>
            <b/>
            <sz val="9"/>
            <color indexed="81"/>
            <rFont val="Tahoma"/>
            <family val="2"/>
          </rPr>
          <t>דרך 2: שימוש ב-vlookup תוך העתקת עמודת שם משקיע לסוף הטבלה</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Avi</author>
  </authors>
  <commentList>
    <comment ref="B31" authorId="0" shapeId="0" xr:uid="{770ECA41-E5D2-4C5C-B923-7D3C7C09161B}">
      <text>
        <r>
          <rPr>
            <b/>
            <sz val="9"/>
            <color indexed="81"/>
            <rFont val="Tahoma"/>
            <family val="2"/>
          </rPr>
          <t>דרך 1: שימוש ב-index ו-match</t>
        </r>
      </text>
    </comment>
    <comment ref="C31" authorId="0" shapeId="0" xr:uid="{D17AC2E7-7A12-4A22-B747-FEC2411D71E9}">
      <text>
        <r>
          <rPr>
            <b/>
            <sz val="9"/>
            <color indexed="81"/>
            <rFont val="Tahoma"/>
            <family val="2"/>
          </rPr>
          <t>דרך 2: שימוש ב-vlookup תוך העתקת עמודת שם משקיע לסוף הטבלה</t>
        </r>
        <r>
          <rPr>
            <sz val="9"/>
            <color indexed="81"/>
            <rFont val="Tahoma"/>
            <family val="2"/>
          </rPr>
          <t xml:space="preserve">
</t>
        </r>
      </text>
    </comment>
  </commentList>
</comments>
</file>

<file path=xl/sharedStrings.xml><?xml version="1.0" encoding="utf-8"?>
<sst xmlns="http://schemas.openxmlformats.org/spreadsheetml/2006/main" count="2769" uniqueCount="400">
  <si>
    <t>מספר משקיע</t>
  </si>
  <si>
    <t>שם המשקיע</t>
  </si>
  <si>
    <t>מעמד משקיע</t>
  </si>
  <si>
    <t>תחילת ההשקעה</t>
  </si>
  <si>
    <t xml:space="preserve">סכום השקעה </t>
  </si>
  <si>
    <t>קרן השקעה</t>
  </si>
  <si>
    <t>דמי ניהול מחושב</t>
  </si>
  <si>
    <t>ערך השקעה נכון להיום</t>
  </si>
  <si>
    <t>NI</t>
  </si>
  <si>
    <t>שכיר</t>
  </si>
  <si>
    <t>KF</t>
  </si>
  <si>
    <t>עצמאי</t>
  </si>
  <si>
    <t>CC</t>
  </si>
  <si>
    <t>BJ</t>
  </si>
  <si>
    <t>DE</t>
  </si>
  <si>
    <t>CK</t>
  </si>
  <si>
    <t>JK</t>
  </si>
  <si>
    <t>DJ</t>
  </si>
  <si>
    <t>LB</t>
  </si>
  <si>
    <t>בעל שליטה</t>
  </si>
  <si>
    <t>LM</t>
  </si>
  <si>
    <t>BK</t>
  </si>
  <si>
    <t>DK</t>
  </si>
  <si>
    <t>KL</t>
  </si>
  <si>
    <t>NE</t>
  </si>
  <si>
    <t>MK</t>
  </si>
  <si>
    <t>FD</t>
  </si>
  <si>
    <t>KD</t>
  </si>
  <si>
    <t>EL</t>
  </si>
  <si>
    <t>KK</t>
  </si>
  <si>
    <t>MC</t>
  </si>
  <si>
    <t>FJ</t>
  </si>
  <si>
    <t>AI</t>
  </si>
  <si>
    <t>GI</t>
  </si>
  <si>
    <t>תאריך ביקורת דוחות</t>
  </si>
  <si>
    <t>קוד לקוח</t>
  </si>
  <si>
    <t>תאריך התקשרות עם לקוח</t>
  </si>
  <si>
    <t>שם חברת לקוח</t>
  </si>
  <si>
    <t>שם איש הקשר</t>
  </si>
  <si>
    <t>עיר</t>
  </si>
  <si>
    <t>תפקיד איש הקשר</t>
  </si>
  <si>
    <t>סטטוס</t>
  </si>
  <si>
    <t>הנחת לקוח</t>
  </si>
  <si>
    <t>הכנסה שנתית מלקוח</t>
  </si>
  <si>
    <t>CU0010</t>
  </si>
  <si>
    <t>אלון בן סלומון</t>
  </si>
  <si>
    <t>רעננה</t>
  </si>
  <si>
    <t>אנליסט</t>
  </si>
  <si>
    <t>קבוע</t>
  </si>
  <si>
    <t>CU0011</t>
  </si>
  <si>
    <t>עמרי רווח</t>
  </si>
  <si>
    <t>כפר סבא</t>
  </si>
  <si>
    <t>שותף ניהול</t>
  </si>
  <si>
    <t>מזדמן</t>
  </si>
  <si>
    <t>CU0012</t>
  </si>
  <si>
    <t>שלי הרן</t>
  </si>
  <si>
    <t>חולון</t>
  </si>
  <si>
    <t>מנכ"ל</t>
  </si>
  <si>
    <t>CU0013</t>
  </si>
  <si>
    <t>דנה דבורין</t>
  </si>
  <si>
    <t>ראשון לציון</t>
  </si>
  <si>
    <t>יועץ</t>
  </si>
  <si>
    <t>CU0014</t>
  </si>
  <si>
    <t>חני נחמיאס</t>
  </si>
  <si>
    <t>רחובות</t>
  </si>
  <si>
    <t>מנהל מחלקת רכש</t>
  </si>
  <si>
    <t>CU0015</t>
  </si>
  <si>
    <t>יעל כהן</t>
  </si>
  <si>
    <t>נס-ציונה</t>
  </si>
  <si>
    <t>מנהל</t>
  </si>
  <si>
    <t>CU0016</t>
  </si>
  <si>
    <t>ניצן אלון</t>
  </si>
  <si>
    <t>רכש בכיר</t>
  </si>
  <si>
    <t>CU0017</t>
  </si>
  <si>
    <t>אודי יגאנה</t>
  </si>
  <si>
    <t>הרצליה</t>
  </si>
  <si>
    <t>VIP</t>
  </si>
  <si>
    <t>CU0018</t>
  </si>
  <si>
    <t>שי לוי</t>
  </si>
  <si>
    <t>יבנה</t>
  </si>
  <si>
    <t>CU0019</t>
  </si>
  <si>
    <t>אורן רוטשטיין</t>
  </si>
  <si>
    <t>ירושלים</t>
  </si>
  <si>
    <t>CU0020</t>
  </si>
  <si>
    <t>אלעד מרוש</t>
  </si>
  <si>
    <t>CU0021</t>
  </si>
  <si>
    <t>ענת ינקוסיץ</t>
  </si>
  <si>
    <t>CU0022</t>
  </si>
  <si>
    <t>מתן הראל</t>
  </si>
  <si>
    <t>CU0023</t>
  </si>
  <si>
    <t>יוסי כהן</t>
  </si>
  <si>
    <t>CU0024</t>
  </si>
  <si>
    <t>מיכל יוגב</t>
  </si>
  <si>
    <t>CU0025</t>
  </si>
  <si>
    <t>בתיה בירמן</t>
  </si>
  <si>
    <t>CU0026</t>
  </si>
  <si>
    <t>שלום אלפסי</t>
  </si>
  <si>
    <t>CU0027</t>
  </si>
  <si>
    <t>ליבי-ים יגאנה</t>
  </si>
  <si>
    <t>CU0028</t>
  </si>
  <si>
    <t>לביא אברמוביץ</t>
  </si>
  <si>
    <t>חיפה</t>
  </si>
  <si>
    <t>CU0029</t>
  </si>
  <si>
    <t>גיא דויטש</t>
  </si>
  <si>
    <t>CU0030</t>
  </si>
  <si>
    <t>יאיר קשטכר</t>
  </si>
  <si>
    <t>CU0031</t>
  </si>
  <si>
    <t>דקלה טויטו</t>
  </si>
  <si>
    <t>באר שבע</t>
  </si>
  <si>
    <t>CU0032</t>
  </si>
  <si>
    <t>אברהם בנימין</t>
  </si>
  <si>
    <t>CU0033</t>
  </si>
  <si>
    <t>דורון קטן</t>
  </si>
  <si>
    <t>קרית אתא</t>
  </si>
  <si>
    <t>CU0034</t>
  </si>
  <si>
    <t>לישי מקסוול</t>
  </si>
  <si>
    <t>CU0035</t>
  </si>
  <si>
    <t>LL</t>
  </si>
  <si>
    <t>דקל אדם</t>
  </si>
  <si>
    <t>CU0036</t>
  </si>
  <si>
    <t>BB</t>
  </si>
  <si>
    <t>ליריינה סופיה</t>
  </si>
  <si>
    <t>רבעון התקשרות</t>
  </si>
  <si>
    <t>שכר</t>
  </si>
  <si>
    <t>הטבת לקוח לחורף</t>
  </si>
  <si>
    <t>יום סיום התקשרות</t>
  </si>
  <si>
    <t>עלות לקוח לחודש</t>
  </si>
  <si>
    <t>רווח מלקוח</t>
  </si>
  <si>
    <t>רווח מלקוח לאחר הנחה</t>
  </si>
  <si>
    <t>רבעון 2</t>
  </si>
  <si>
    <t>ייקבע מועד אחר</t>
  </si>
  <si>
    <t>תאריך סיום חוזה</t>
  </si>
  <si>
    <t>ממועד א 2023</t>
  </si>
  <si>
    <t>גידול השקעה בשקלים</t>
  </si>
  <si>
    <t>שווי מס מכירה בשקלים</t>
  </si>
  <si>
    <t>שם חודש תחילת השקעה במלל</t>
  </si>
  <si>
    <t>מתנה למשקיע</t>
  </si>
  <si>
    <t>שער הדולר</t>
  </si>
  <si>
    <t>חופשה באילת</t>
  </si>
  <si>
    <t>חופשה בפריז</t>
  </si>
  <si>
    <t>כרטיס להופעה</t>
  </si>
  <si>
    <t>סט סירים</t>
  </si>
  <si>
    <t>תווי קניה</t>
  </si>
  <si>
    <t>ללא מתנה</t>
  </si>
  <si>
    <t>דרך שנייה</t>
  </si>
  <si>
    <t>ולהכין תאי עזר עם כותרת:</t>
  </si>
  <si>
    <t>מועד א 2022</t>
  </si>
  <si>
    <t>תאריך מכירה</t>
  </si>
  <si>
    <t>סניף</t>
  </si>
  <si>
    <t>התוכנה</t>
  </si>
  <si>
    <t>סיווג התוכנה</t>
  </si>
  <si>
    <t>מחיר יחידה</t>
  </si>
  <si>
    <t>כמות</t>
  </si>
  <si>
    <t>שם המוכר/ת</t>
  </si>
  <si>
    <t>עמלה בש"ח</t>
  </si>
  <si>
    <t>הכנסה נטו</t>
  </si>
  <si>
    <t>יום המכירה</t>
  </si>
  <si>
    <t>תאריך המסירה</t>
  </si>
  <si>
    <t>תוספת להכנסה</t>
  </si>
  <si>
    <t>פגפ</t>
  </si>
  <si>
    <t>אבטחה</t>
  </si>
  <si>
    <t>עומר טנא</t>
  </si>
  <si>
    <t>אילת</t>
  </si>
  <si>
    <t>נגן ריל פלייר 1</t>
  </si>
  <si>
    <t>בידור</t>
  </si>
  <si>
    <t>אבי כהן</t>
  </si>
  <si>
    <t>סניפים</t>
  </si>
  <si>
    <t>פרו-פורט</t>
  </si>
  <si>
    <t>יוסי פרס</t>
  </si>
  <si>
    <t>פיירוול 1</t>
  </si>
  <si>
    <t>רונן גואטה</t>
  </si>
  <si>
    <t>סוליטיר</t>
  </si>
  <si>
    <t>פאוור פוינט</t>
  </si>
  <si>
    <t>מצגות</t>
  </si>
  <si>
    <t>ניצן קדמן</t>
  </si>
  <si>
    <t>מכבים</t>
  </si>
  <si>
    <t>פנל תמיכת החלטות</t>
  </si>
  <si>
    <t>משרדית</t>
  </si>
  <si>
    <t>תל אביב</t>
  </si>
  <si>
    <t>איריס</t>
  </si>
  <si>
    <t>אנטיוירוס</t>
  </si>
  <si>
    <t>אלי דנון</t>
  </si>
  <si>
    <t>יודורה</t>
  </si>
  <si>
    <t>אבי לוי</t>
  </si>
  <si>
    <t>קרית שמונה</t>
  </si>
  <si>
    <t>אקסס</t>
  </si>
  <si>
    <t>אסטאונד</t>
  </si>
  <si>
    <t>בבילון</t>
  </si>
  <si>
    <t>ורדית קורן</t>
  </si>
  <si>
    <t>יעקב ורד</t>
  </si>
  <si>
    <t>קורל דרו</t>
  </si>
  <si>
    <t>שרטוט</t>
  </si>
  <si>
    <t>זאב פרידמן</t>
  </si>
  <si>
    <t>גדי יגיל</t>
  </si>
  <si>
    <t>ברידג'</t>
  </si>
  <si>
    <t>ירחמיאל שני</t>
  </si>
  <si>
    <t>גילה יעקובי</t>
  </si>
  <si>
    <t>הדס פרושאור</t>
  </si>
  <si>
    <t>נורטון</t>
  </si>
  <si>
    <t>עמרם טיסונה</t>
  </si>
  <si>
    <t>וורד</t>
  </si>
  <si>
    <t>שירה כהן</t>
  </si>
  <si>
    <t>אקרובט</t>
  </si>
  <si>
    <t>משה צמיר</t>
  </si>
  <si>
    <t>אקסל</t>
  </si>
  <si>
    <t>לירון בית הלחמי</t>
  </si>
  <si>
    <t>עדי כהנא</t>
  </si>
  <si>
    <t>דוד לוי</t>
  </si>
  <si>
    <t>ווין-זיפ 8</t>
  </si>
  <si>
    <t>דחיסה</t>
  </si>
  <si>
    <t>זיפ-יט</t>
  </si>
  <si>
    <t>חנה אברהם</t>
  </si>
  <si>
    <t>שולה כהן</t>
  </si>
  <si>
    <t>ציון לוי</t>
  </si>
  <si>
    <t>רותם אלנתן</t>
  </si>
  <si>
    <t>הילה גרטל</t>
  </si>
  <si>
    <t>שמעון בוקשפן</t>
  </si>
  <si>
    <t>חודש</t>
  </si>
  <si>
    <t>רבעון</t>
  </si>
  <si>
    <t>רבעון 1</t>
  </si>
  <si>
    <t>רבעון 3</t>
  </si>
  <si>
    <t>רבעון 4</t>
  </si>
  <si>
    <t>שכר  פר תפקיד</t>
  </si>
  <si>
    <t>שכר בסיס</t>
  </si>
  <si>
    <t>נתניה</t>
  </si>
  <si>
    <t>חדרה</t>
  </si>
  <si>
    <t>ממועד א 2023, שאלה 1 סעיף א</t>
  </si>
  <si>
    <t>טבלה נתונה לצורך פתרון הסעיף:</t>
  </si>
  <si>
    <t xml:space="preserve">     VLOOKUP שכר בסיס</t>
  </si>
  <si>
    <t>חישוב הותק בשנים</t>
  </si>
  <si>
    <t>תוספת ותק    לכל שנת וותק</t>
  </si>
  <si>
    <t>VLOOKUP תוספת ותק לכל שנה</t>
  </si>
  <si>
    <t>ממועד א 2023, שאלה 1 סעיף ב</t>
  </si>
  <si>
    <t xml:space="preserve">               תאי עזר תנאי ראשון</t>
  </si>
  <si>
    <t>DCOUNTA</t>
  </si>
  <si>
    <t>database</t>
  </si>
  <si>
    <t>כל טבלת הנתונים, כולל כותרות</t>
  </si>
  <si>
    <t>field</t>
  </si>
  <si>
    <t>כותרת עמודת החישוב</t>
  </si>
  <si>
    <t>criteria</t>
  </si>
  <si>
    <t>שני תאי העזר: כותרת ותא העזר</t>
  </si>
  <si>
    <t>סינון מתקדם, זיהוי:</t>
  </si>
  <si>
    <t>פותחים גיליון חדש כפי שביקשו, ונכין בו את הכותרות שביקשו למי שעמד בקריטריונים</t>
  </si>
  <si>
    <t>נתונים &gt; מתקדם &gt; ....</t>
  </si>
  <si>
    <t>גובה השקעה</t>
  </si>
  <si>
    <t>שם פרטי</t>
  </si>
  <si>
    <t>תאריך לידה</t>
  </si>
  <si>
    <t>שכר בדולרים</t>
  </si>
  <si>
    <t>שכר בש"ח</t>
  </si>
  <si>
    <t>עיר מגורים</t>
  </si>
  <si>
    <t>עדי</t>
  </si>
  <si>
    <t>רונן</t>
  </si>
  <si>
    <t>יוסי</t>
  </si>
  <si>
    <t>מנחם</t>
  </si>
  <si>
    <t>לימור</t>
  </si>
  <si>
    <t>מודיעין</t>
  </si>
  <si>
    <t>פלג</t>
  </si>
  <si>
    <t>דקלה</t>
  </si>
  <si>
    <t>נגה</t>
  </si>
  <si>
    <t>חוה</t>
  </si>
  <si>
    <t>ענבר</t>
  </si>
  <si>
    <t>אתי</t>
  </si>
  <si>
    <t>ורד</t>
  </si>
  <si>
    <t>חיים</t>
  </si>
  <si>
    <t>ענת</t>
  </si>
  <si>
    <t>ארז</t>
  </si>
  <si>
    <t>מיכל</t>
  </si>
  <si>
    <t>יובל</t>
  </si>
  <si>
    <t>ניצן</t>
  </si>
  <si>
    <t>גדרה</t>
  </si>
  <si>
    <t>מיה</t>
  </si>
  <si>
    <t>אחוז הרווח הגולמי</t>
  </si>
  <si>
    <t>נתונה הטבלה הבאה</t>
  </si>
  <si>
    <t>סך הכנסה מכל סניף</t>
  </si>
  <si>
    <t>רווח מכל סניף</t>
  </si>
  <si>
    <t>קוד מזהה תושב</t>
  </si>
  <si>
    <t>שם מלא תושב</t>
  </si>
  <si>
    <t>מקצוע</t>
  </si>
  <si>
    <t>שכר חודשי ברוטו</t>
  </si>
  <si>
    <t>שלי הרמנוביץ</t>
  </si>
  <si>
    <t>רופא</t>
  </si>
  <si>
    <t>דנה טורבו</t>
  </si>
  <si>
    <t>אשדוד</t>
  </si>
  <si>
    <t>תברואן</t>
  </si>
  <si>
    <t>בתיה כהן</t>
  </si>
  <si>
    <t>מורה</t>
  </si>
  <si>
    <t>אלון בן שלום</t>
  </si>
  <si>
    <t>פתח תקוה</t>
  </si>
  <si>
    <t>מהנדס</t>
  </si>
  <si>
    <t>יעל לוי</t>
  </si>
  <si>
    <t>עו"ד</t>
  </si>
  <si>
    <t>שלי בן זאב</t>
  </si>
  <si>
    <t>עדן דהן</t>
  </si>
  <si>
    <t>תל-אביב יפו</t>
  </si>
  <si>
    <t>ערן גולן</t>
  </si>
  <si>
    <t>מרצה</t>
  </si>
  <si>
    <t>שי יגאנה</t>
  </si>
  <si>
    <t>עוזר סוציאלי</t>
  </si>
  <si>
    <t>קובי ישראלי</t>
  </si>
  <si>
    <t>יוסי לוי</t>
  </si>
  <si>
    <t>נהריה</t>
  </si>
  <si>
    <t>ניל שבו</t>
  </si>
  <si>
    <t>רואה חשבון</t>
  </si>
  <si>
    <t>מיכל שטבו</t>
  </si>
  <si>
    <t>שיווק</t>
  </si>
  <si>
    <t>איציק כהן</t>
  </si>
  <si>
    <t>עומר בן שלום</t>
  </si>
  <si>
    <t>ענבר אלפסי</t>
  </si>
  <si>
    <t>רוני ויינברג</t>
  </si>
  <si>
    <t>דני מיכאלוב</t>
  </si>
  <si>
    <t>ליאת בראל</t>
  </si>
  <si>
    <t>רונן לניר</t>
  </si>
  <si>
    <t>אביב גורן</t>
  </si>
  <si>
    <t>מאיה בן ארי</t>
  </si>
  <si>
    <t>ענת כהן</t>
  </si>
  <si>
    <t>צחי לוי</t>
  </si>
  <si>
    <t>דניאלה הלוי</t>
  </si>
  <si>
    <t>עמרי רווחה</t>
  </si>
  <si>
    <t>גלעד קלנר</t>
  </si>
  <si>
    <t>אלי מזרחי</t>
  </si>
  <si>
    <t>צחי רובד</t>
  </si>
  <si>
    <t>אורית פורשל</t>
  </si>
  <si>
    <t>זהבה נמצי</t>
  </si>
  <si>
    <t>גאולה צמח</t>
  </si>
  <si>
    <t>עדי בראל</t>
  </si>
  <si>
    <t>הרצל אביטן</t>
  </si>
  <si>
    <t>רונית דור</t>
  </si>
  <si>
    <t>טלי הראל</t>
  </si>
  <si>
    <t>אביגיל צרור</t>
  </si>
  <si>
    <t>עדי לוי</t>
  </si>
  <si>
    <t>ורד גונן</t>
  </si>
  <si>
    <t>שי שליח</t>
  </si>
  <si>
    <t>דורית מלמוד</t>
  </si>
  <si>
    <t>בת אל סלומון</t>
  </si>
  <si>
    <t>אורן רוטשנוביץ</t>
  </si>
  <si>
    <t>רון אברמוביץ</t>
  </si>
  <si>
    <t>משה אלימלך</t>
  </si>
  <si>
    <t>עמית לוי</t>
  </si>
  <si>
    <t>שמעון ברי</t>
  </si>
  <si>
    <t>שלומי גוזמן</t>
  </si>
  <si>
    <t>צילה פרח</t>
  </si>
  <si>
    <t>נילי כהן</t>
  </si>
  <si>
    <t>חיה אלפסי</t>
  </si>
  <si>
    <t>יוני כהן</t>
  </si>
  <si>
    <t>משה לוי</t>
  </si>
  <si>
    <t>שגב משה</t>
  </si>
  <si>
    <t>גלעד קלמן</t>
  </si>
  <si>
    <t>ירון זיו</t>
  </si>
  <si>
    <t>שרי קשטכר</t>
  </si>
  <si>
    <t>גיל</t>
  </si>
  <si>
    <t>איזור</t>
  </si>
  <si>
    <t xml:space="preserve">מרכז </t>
  </si>
  <si>
    <t>צפון</t>
  </si>
  <si>
    <t>(</t>
  </si>
  <si>
    <t>)</t>
  </si>
  <si>
    <t xml:space="preserve">תאי עזר לנקודה האחרונה </t>
  </si>
  <si>
    <t xml:space="preserve"> תאי עזר תנאי שני</t>
  </si>
  <si>
    <t>בניית AverageIf</t>
  </si>
  <si>
    <t>שלבי פיתרון שאלה 5</t>
  </si>
  <si>
    <t>אם יש 2 תנאים או יותר נלך ל DCOUNT</t>
  </si>
  <si>
    <t xml:space="preserve">העתק אל: רק את הכותרת שהכנו מראש!  לבחור רשימות ייחודיות! </t>
  </si>
  <si>
    <r>
      <t xml:space="preserve">נתונים &gt; מתקדם &gt; העתק למיקום אחר.    "טווח רשימה": כל עמודת שמות החודשים, </t>
    </r>
    <r>
      <rPr>
        <sz val="22"/>
        <color rgb="FFFF0000"/>
        <rFont val="Arial"/>
        <family val="2"/>
        <scheme val="minor"/>
      </rPr>
      <t>עם הכותרת</t>
    </r>
    <r>
      <rPr>
        <sz val="22"/>
        <color theme="1"/>
        <rFont val="Arial"/>
        <family val="2"/>
        <charset val="177"/>
        <scheme val="minor"/>
      </rPr>
      <t>.</t>
    </r>
  </si>
  <si>
    <t>כיצד נזהה חתירה למטרה?</t>
  </si>
  <si>
    <t>יופיעו המילים "מה צריך להיות"  וגם יתנו מספר סופי (מטרה מספרית)</t>
  </si>
  <si>
    <t xml:space="preserve">בתנאי אחד נעדיף COUNTIF  </t>
  </si>
  <si>
    <t>בגיליון החדש יופיעו רק אלה שעמדו בקריטריונים שקיבלנו</t>
  </si>
  <si>
    <t xml:space="preserve">צור רשימה חדשה בגיליון חדש או צור דוח בגיליון חדש. אגב, לרוב יבקשו שרק חלק מהכותרות...מהעמודות יופיעו בגיליון החדש שפתחתנו </t>
  </si>
  <si>
    <t>שלבי עבודה סינון מתקדם:</t>
  </si>
  <si>
    <t xml:space="preserve">הכנת טבלת הקריטריונים. כאן חובה להקפיד על כותרות (העתיקו בקופי-פייסט).                "וגם"= אותה השורה  "או"   שורות נפרדות </t>
  </si>
  <si>
    <t xml:space="preserve">נסמן את כל עמודת שמות החודשים, עם כותרת.      </t>
  </si>
  <si>
    <t xml:space="preserve">יצירת רשימת חודשים כעמודה: נעתיק את הכותרת ב "העתק הדבק" לתא שביקשו (אצלנו S2). </t>
  </si>
  <si>
    <t xml:space="preserve">סעיף דומה </t>
  </si>
  <si>
    <t xml:space="preserve">צור רשימה חדשה בגיליון חדש או צור דוח בגיליון חדש. </t>
  </si>
  <si>
    <t>אגב, לרוב יבקשו שרק חלק מהכותרות (מהעמודות) יופיעו בגיליון החדש שפתחתנו.</t>
  </si>
  <si>
    <t>כגכדג</t>
  </si>
  <si>
    <t>AND</t>
  </si>
  <si>
    <t>OR</t>
  </si>
  <si>
    <t xml:space="preserve">תאי עזר </t>
  </si>
  <si>
    <t>על ידי VLOOKUP</t>
  </si>
  <si>
    <t>שם החודש</t>
  </si>
  <si>
    <t>ספטמבר</t>
  </si>
  <si>
    <t>מרץ</t>
  </si>
  <si>
    <t>דצמבר</t>
  </si>
  <si>
    <t>פברואר</t>
  </si>
  <si>
    <t>מאי</t>
  </si>
  <si>
    <t>יולי</t>
  </si>
  <si>
    <t>אוקטובר</t>
  </si>
  <si>
    <t>אפריל</t>
  </si>
  <si>
    <t>נובמבר</t>
  </si>
  <si>
    <t>יוני</t>
  </si>
  <si>
    <t>ינואר</t>
  </si>
  <si>
    <t>ממוצע רווח מכל הסניפים</t>
  </si>
  <si>
    <t>תא עזר</t>
  </si>
  <si>
    <t>&gt;200000</t>
  </si>
  <si>
    <t>&gt;31/12/2024</t>
  </si>
  <si>
    <t>טבלת קריטריונים</t>
  </si>
  <si>
    <t>&gt;50</t>
  </si>
  <si>
    <t>&lt;70</t>
  </si>
  <si>
    <t>&lt;01/01/2024</t>
  </si>
  <si>
    <t>מרכז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</si>
</sst>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8" formatCode="&quot;₪&quot;\ #,##0.00;[Red]&quot;₪&quot;\ \-#,##0.00"/>
    <numFmt numFmtId="44" formatCode="_ &quot;₪&quot;\ * #,##0.00_ ;_ &quot;₪&quot;\ * \-#,##0.00_ ;_ &quot;₪&quot;\ * &quot;-&quot;??_ ;_ @_ "/>
    <numFmt numFmtId="43" formatCode="_ * #,##0.00_ ;_ * \-#,##0.00_ ;_ * &quot;-&quot;??_ ;_ @_ "/>
    <numFmt numFmtId="164" formatCode="_-[$$-409]* #,##0_ ;_-[$$-409]* \-#,##0\ ;_-[$$-409]* &quot;-&quot;??_ ;_-@_ "/>
    <numFmt numFmtId="165" formatCode="_)@"/>
    <numFmt numFmtId="166" formatCode="_ * #,##0_ ;_ * \-#,##0_ ;_ * &quot;-&quot;??_ ;_ @_ "/>
    <numFmt numFmtId="167" formatCode="_ [$₪-40D]\ * #,##0.00_ ;_ [$₪-40D]\ * \-#,##0.00_ ;_ [$₪-40D]\ * &quot;-&quot;??_ ;_ @_ "/>
    <numFmt numFmtId="168" formatCode="_ &quot;₪&quot;\ * #,##0_ ;_ &quot;₪&quot;\ * \-#,##0_ ;_ &quot;₪&quot;\ * &quot;-&quot;??_ ;_ @_ "/>
    <numFmt numFmtId="169" formatCode="0.0%"/>
    <numFmt numFmtId="170" formatCode="[$$-C09]#,##0.0"/>
    <numFmt numFmtId="171" formatCode="&quot;₪&quot;\ #,##0"/>
    <numFmt numFmtId="172" formatCode="0.0"/>
    <numFmt numFmtId="173" formatCode="[$-1010000]d/m/yy;@"/>
  </numFmts>
  <fonts count="50" x14ac:knownFonts="1">
    <font>
      <sz val="11"/>
      <color theme="1"/>
      <name val="Arial"/>
      <family val="2"/>
      <scheme val="minor"/>
    </font>
    <font>
      <sz val="22"/>
      <color theme="1"/>
      <name val="Arial"/>
      <family val="2"/>
      <charset val="177"/>
      <scheme val="minor"/>
    </font>
    <font>
      <sz val="22"/>
      <color theme="1"/>
      <name val="Arial"/>
      <family val="2"/>
      <charset val="177"/>
      <scheme val="minor"/>
    </font>
    <font>
      <sz val="22"/>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Arial"/>
      <family val="2"/>
      <scheme val="minor"/>
    </font>
    <font>
      <sz val="11"/>
      <color theme="1"/>
      <name val="Calibri"/>
      <family val="2"/>
    </font>
    <font>
      <b/>
      <sz val="12"/>
      <name val="Calibri"/>
      <family val="2"/>
    </font>
    <font>
      <b/>
      <sz val="12"/>
      <color theme="1"/>
      <name val="Calibri"/>
      <family val="2"/>
    </font>
    <font>
      <sz val="12"/>
      <name val="Calibri"/>
      <family val="2"/>
    </font>
    <font>
      <sz val="12"/>
      <color theme="1"/>
      <name val="Calibri"/>
      <family val="2"/>
    </font>
    <font>
      <b/>
      <u/>
      <sz val="12"/>
      <color theme="1"/>
      <name val="Calibri"/>
      <family val="2"/>
    </font>
    <font>
      <b/>
      <sz val="11"/>
      <color theme="1"/>
      <name val="Arial"/>
      <family val="2"/>
      <scheme val="minor"/>
    </font>
    <font>
      <b/>
      <sz val="9"/>
      <color indexed="81"/>
      <name val="Tahoma"/>
      <family val="2"/>
    </font>
    <font>
      <sz val="9"/>
      <color indexed="81"/>
      <name val="Tahoma"/>
      <family val="2"/>
    </font>
    <font>
      <b/>
      <sz val="11"/>
      <name val="Arial"/>
      <family val="2"/>
    </font>
    <font>
      <sz val="11"/>
      <name val="Arial"/>
      <family val="2"/>
      <scheme val="minor"/>
    </font>
    <font>
      <b/>
      <u val="singleAccounting"/>
      <sz val="12"/>
      <color theme="1"/>
      <name val="Calibri"/>
      <family val="2"/>
    </font>
    <font>
      <b/>
      <u/>
      <sz val="12"/>
      <name val="Calibri"/>
      <family val="2"/>
    </font>
    <font>
      <u val="singleAccounting"/>
      <sz val="12"/>
      <color theme="1"/>
      <name val="Calibri"/>
      <family val="2"/>
    </font>
    <font>
      <b/>
      <u/>
      <sz val="11"/>
      <name val="Calibri"/>
      <family val="2"/>
    </font>
    <font>
      <b/>
      <u/>
      <sz val="11"/>
      <name val="Calibri"/>
      <family val="2"/>
      <charset val="177"/>
    </font>
    <font>
      <b/>
      <u/>
      <sz val="11"/>
      <color theme="1"/>
      <name val="Arial"/>
      <family val="2"/>
      <charset val="177"/>
      <scheme val="minor"/>
    </font>
    <font>
      <sz val="11"/>
      <name val="Calibri"/>
      <family val="2"/>
    </font>
    <font>
      <sz val="10"/>
      <name val="Arial"/>
      <family val="2"/>
    </font>
    <font>
      <b/>
      <sz val="16"/>
      <color theme="1"/>
      <name val="Calibri"/>
      <family val="2"/>
    </font>
    <font>
      <sz val="18"/>
      <color theme="1"/>
      <name val="Calibri"/>
      <family val="2"/>
    </font>
    <font>
      <sz val="16"/>
      <color theme="1"/>
      <name val="Arial"/>
      <family val="2"/>
      <scheme val="minor"/>
    </font>
    <font>
      <sz val="18"/>
      <color theme="1"/>
      <name val="Arial"/>
      <family val="2"/>
      <scheme val="minor"/>
    </font>
    <font>
      <sz val="16"/>
      <color rgb="FFFF0000"/>
      <name val="Arial"/>
      <family val="2"/>
      <scheme val="minor"/>
    </font>
    <font>
      <b/>
      <sz val="12"/>
      <color rgb="FFFF0000"/>
      <name val="Calibri"/>
      <family val="2"/>
    </font>
    <font>
      <b/>
      <sz val="11"/>
      <name val="David"/>
      <family val="2"/>
      <charset val="177"/>
    </font>
    <font>
      <sz val="11"/>
      <name val="David"/>
      <family val="2"/>
      <charset val="177"/>
    </font>
    <font>
      <b/>
      <u/>
      <sz val="10"/>
      <name val="Arial"/>
      <family val="2"/>
    </font>
    <font>
      <sz val="10"/>
      <color theme="1"/>
      <name val="Arial"/>
      <family val="2"/>
      <scheme val="minor"/>
    </font>
    <font>
      <b/>
      <sz val="12"/>
      <color theme="1"/>
      <name val="Arial"/>
      <family val="2"/>
      <scheme val="minor"/>
    </font>
    <font>
      <b/>
      <sz val="10"/>
      <color theme="1"/>
      <name val="Arial"/>
      <family val="2"/>
      <scheme val="minor"/>
    </font>
    <font>
      <sz val="18"/>
      <color theme="1"/>
      <name val="Arial"/>
      <family val="2"/>
      <charset val="177"/>
      <scheme val="minor"/>
    </font>
    <font>
      <sz val="22"/>
      <color rgb="FFFF0000"/>
      <name val="Arial"/>
      <family val="2"/>
      <scheme val="minor"/>
    </font>
    <font>
      <sz val="20"/>
      <name val="David"/>
      <family val="2"/>
      <charset val="177"/>
    </font>
    <font>
      <b/>
      <sz val="20"/>
      <name val="David"/>
      <family val="2"/>
      <charset val="177"/>
    </font>
    <font>
      <sz val="22"/>
      <name val="Calibri"/>
      <family val="2"/>
    </font>
    <font>
      <sz val="22"/>
      <color theme="1"/>
      <name val="Calibri"/>
      <family val="2"/>
    </font>
    <font>
      <u val="singleAccounting"/>
      <sz val="22"/>
      <color theme="1"/>
      <name val="Calibri"/>
      <family val="2"/>
    </font>
    <font>
      <b/>
      <sz val="10"/>
      <name val="Arial"/>
      <family val="2"/>
    </font>
    <font>
      <sz val="8"/>
      <color theme="1"/>
      <name val="Arial"/>
      <family val="2"/>
      <scheme val="minor"/>
    </font>
    <font>
      <sz val="8"/>
      <name val="Arial"/>
      <family val="2"/>
    </font>
    <font>
      <b/>
      <sz val="8"/>
      <name val="Arial"/>
      <family val="2"/>
    </font>
    <font>
      <sz val="8"/>
      <name val="Arial"/>
      <family val="2"/>
      <scheme val="minor"/>
    </font>
  </fonts>
  <fills count="13">
    <fill>
      <patternFill patternType="none"/>
    </fill>
    <fill>
      <patternFill patternType="gray125"/>
    </fill>
    <fill>
      <patternFill patternType="solid">
        <fgColor rgb="FFCCCCFF"/>
        <bgColor indexed="64"/>
      </patternFill>
    </fill>
    <fill>
      <patternFill patternType="solid">
        <fgColor theme="0"/>
        <bgColor indexed="64"/>
      </patternFill>
    </fill>
    <fill>
      <patternFill patternType="solid">
        <fgColor theme="0"/>
        <bgColor theme="4" tint="0.79998168889431442"/>
      </patternFill>
    </fill>
    <fill>
      <patternFill patternType="solid">
        <fgColor rgb="FFFFFF00"/>
        <bgColor indexed="64"/>
      </patternFill>
    </fill>
    <fill>
      <patternFill patternType="solid">
        <fgColor indexed="41"/>
        <bgColor indexed="64"/>
      </patternFill>
    </fill>
    <fill>
      <patternFill patternType="solid">
        <fgColor theme="3" tint="0.79998168889431442"/>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
    <xf numFmtId="0" fontId="0"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0" fontId="33" fillId="0" borderId="0"/>
  </cellStyleXfs>
  <cellXfs count="385">
    <xf numFmtId="0" fontId="0" fillId="0" borderId="0" xfId="0"/>
    <xf numFmtId="0" fontId="7" fillId="0" borderId="1" xfId="0" applyFont="1" applyBorder="1" applyAlignment="1">
      <alignment wrapText="1"/>
    </xf>
    <xf numFmtId="0" fontId="7" fillId="0" borderId="1" xfId="0" applyFont="1" applyBorder="1"/>
    <xf numFmtId="14" fontId="7" fillId="0" borderId="1" xfId="0" applyNumberFormat="1" applyFont="1" applyBorder="1"/>
    <xf numFmtId="164" fontId="7" fillId="0" borderId="1" xfId="1" applyNumberFormat="1" applyFont="1" applyBorder="1"/>
    <xf numFmtId="10" fontId="7" fillId="0" borderId="1" xfId="2" applyNumberFormat="1" applyFont="1" applyBorder="1"/>
    <xf numFmtId="164" fontId="7" fillId="0" borderId="1" xfId="0" applyNumberFormat="1" applyFont="1" applyBorder="1"/>
    <xf numFmtId="14" fontId="0" fillId="0" borderId="0" xfId="0" applyNumberFormat="1"/>
    <xf numFmtId="49" fontId="8" fillId="3" borderId="2"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xf>
    <xf numFmtId="49" fontId="8" fillId="3" borderId="3" xfId="0" applyNumberFormat="1" applyFont="1" applyFill="1" applyBorder="1" applyAlignment="1">
      <alignment horizontal="center" vertical="center"/>
    </xf>
    <xf numFmtId="0" fontId="9" fillId="0" borderId="1" xfId="0" applyFont="1" applyBorder="1" applyAlignment="1">
      <alignment horizontal="center" vertical="center" wrapText="1"/>
    </xf>
    <xf numFmtId="165" fontId="10" fillId="4" borderId="2" xfId="0" applyNumberFormat="1" applyFont="1" applyFill="1" applyBorder="1" applyAlignment="1">
      <alignment horizontal="right" readingOrder="2"/>
    </xf>
    <xf numFmtId="14" fontId="11" fillId="4" borderId="2" xfId="0" applyNumberFormat="1" applyFont="1" applyFill="1" applyBorder="1"/>
    <xf numFmtId="165" fontId="10" fillId="4" borderId="2" xfId="0" applyNumberFormat="1" applyFont="1" applyFill="1" applyBorder="1" applyAlignment="1">
      <alignment readingOrder="2"/>
    </xf>
    <xf numFmtId="0" fontId="11" fillId="4" borderId="2" xfId="0" applyFont="1" applyFill="1" applyBorder="1"/>
    <xf numFmtId="9" fontId="11" fillId="4" borderId="3" xfId="0" applyNumberFormat="1" applyFont="1" applyFill="1" applyBorder="1"/>
    <xf numFmtId="166" fontId="11" fillId="0" borderId="1" xfId="1" applyNumberFormat="1" applyFont="1" applyBorder="1"/>
    <xf numFmtId="165" fontId="10" fillId="3" borderId="2" xfId="0" applyNumberFormat="1" applyFont="1" applyFill="1" applyBorder="1" applyAlignment="1">
      <alignment horizontal="right" readingOrder="2"/>
    </xf>
    <xf numFmtId="14" fontId="11" fillId="3" borderId="2" xfId="0" applyNumberFormat="1" applyFont="1" applyFill="1" applyBorder="1"/>
    <xf numFmtId="165" fontId="10" fillId="3" borderId="2" xfId="0" applyNumberFormat="1" applyFont="1" applyFill="1" applyBorder="1" applyAlignment="1">
      <alignment readingOrder="2"/>
    </xf>
    <xf numFmtId="0" fontId="11" fillId="3" borderId="2" xfId="0" applyFont="1" applyFill="1" applyBorder="1"/>
    <xf numFmtId="9" fontId="11" fillId="3" borderId="3" xfId="0" applyNumberFormat="1" applyFont="1" applyFill="1" applyBorder="1"/>
    <xf numFmtId="0" fontId="11" fillId="3" borderId="2" xfId="0" applyFont="1" applyFill="1" applyBorder="1" applyAlignment="1">
      <alignment horizontal="right"/>
    </xf>
    <xf numFmtId="0" fontId="11" fillId="4" borderId="2" xfId="0" applyFont="1" applyFill="1" applyBorder="1" applyAlignment="1">
      <alignment horizontal="right"/>
    </xf>
    <xf numFmtId="165" fontId="10" fillId="4" borderId="4" xfId="0" applyNumberFormat="1" applyFont="1" applyFill="1" applyBorder="1" applyAlignment="1">
      <alignment horizontal="right" readingOrder="2"/>
    </xf>
    <xf numFmtId="14" fontId="11" fillId="4" borderId="4" xfId="0" applyNumberFormat="1" applyFont="1" applyFill="1" applyBorder="1"/>
    <xf numFmtId="165" fontId="10" fillId="4" borderId="4" xfId="0" applyNumberFormat="1" applyFont="1" applyFill="1" applyBorder="1" applyAlignment="1">
      <alignment readingOrder="2"/>
    </xf>
    <xf numFmtId="0" fontId="11" fillId="4" borderId="4" xfId="0" applyFont="1" applyFill="1" applyBorder="1"/>
    <xf numFmtId="9" fontId="11" fillId="4" borderId="1" xfId="0" applyNumberFormat="1" applyFont="1" applyFill="1" applyBorder="1"/>
    <xf numFmtId="0" fontId="11" fillId="0" borderId="0" xfId="0" applyFont="1"/>
    <xf numFmtId="0" fontId="10" fillId="0" borderId="0" xfId="0" applyFont="1"/>
    <xf numFmtId="0" fontId="7" fillId="0" borderId="1" xfId="3" applyFont="1" applyBorder="1" applyAlignment="1">
      <alignment wrapText="1"/>
    </xf>
    <xf numFmtId="0" fontId="5" fillId="2" borderId="0" xfId="3" applyFill="1" applyAlignment="1">
      <alignment wrapText="1"/>
    </xf>
    <xf numFmtId="0" fontId="5" fillId="0" borderId="0" xfId="3" applyAlignment="1">
      <alignment wrapText="1"/>
    </xf>
    <xf numFmtId="0" fontId="7" fillId="0" borderId="1" xfId="3" applyFont="1" applyBorder="1"/>
    <xf numFmtId="14" fontId="7" fillId="0" borderId="1" xfId="3" applyNumberFormat="1" applyFont="1" applyBorder="1"/>
    <xf numFmtId="164" fontId="7" fillId="0" borderId="1" xfId="5" applyNumberFormat="1" applyFont="1" applyBorder="1"/>
    <xf numFmtId="10" fontId="7" fillId="0" borderId="1" xfId="4" applyNumberFormat="1" applyFont="1" applyBorder="1"/>
    <xf numFmtId="164" fontId="7" fillId="0" borderId="1" xfId="3" applyNumberFormat="1" applyFont="1" applyBorder="1"/>
    <xf numFmtId="167" fontId="5" fillId="0" borderId="0" xfId="3" applyNumberFormat="1"/>
    <xf numFmtId="0" fontId="5" fillId="0" borderId="0" xfId="3"/>
    <xf numFmtId="14" fontId="5" fillId="0" borderId="0" xfId="3" applyNumberFormat="1"/>
    <xf numFmtId="0" fontId="5" fillId="0" borderId="5" xfId="3" applyBorder="1"/>
    <xf numFmtId="0" fontId="5" fillId="0" borderId="6" xfId="3" applyBorder="1"/>
    <xf numFmtId="167" fontId="13" fillId="2" borderId="0" xfId="3" applyNumberFormat="1" applyFont="1" applyFill="1"/>
    <xf numFmtId="14" fontId="13" fillId="2" borderId="0" xfId="3" applyNumberFormat="1" applyFont="1" applyFill="1"/>
    <xf numFmtId="0" fontId="7" fillId="0" borderId="4" xfId="3" applyFont="1" applyBorder="1"/>
    <xf numFmtId="0" fontId="5" fillId="0" borderId="4" xfId="3" applyBorder="1"/>
    <xf numFmtId="0" fontId="5" fillId="0" borderId="1" xfId="3" applyBorder="1"/>
    <xf numFmtId="9" fontId="13" fillId="2" borderId="0" xfId="4" applyFont="1" applyFill="1"/>
    <xf numFmtId="0" fontId="13" fillId="2" borderId="0" xfId="3" applyFont="1" applyFill="1"/>
    <xf numFmtId="167" fontId="13" fillId="3" borderId="0" xfId="3" applyNumberFormat="1" applyFont="1" applyFill="1"/>
    <xf numFmtId="0" fontId="4" fillId="0" borderId="0" xfId="3" applyFont="1"/>
    <xf numFmtId="14" fontId="16" fillId="6" borderId="1" xfId="6" applyNumberFormat="1" applyFont="1" applyFill="1" applyBorder="1"/>
    <xf numFmtId="0" fontId="16" fillId="6" borderId="1" xfId="6" applyFont="1" applyFill="1" applyBorder="1"/>
    <xf numFmtId="0" fontId="16" fillId="6" borderId="1" xfId="6" applyFont="1" applyFill="1" applyBorder="1" applyAlignment="1">
      <alignment horizontal="right"/>
    </xf>
    <xf numFmtId="168" fontId="16" fillId="6" borderId="1" xfId="7" applyNumberFormat="1" applyFont="1" applyFill="1" applyBorder="1" applyAlignment="1">
      <alignment readingOrder="2"/>
    </xf>
    <xf numFmtId="0" fontId="16" fillId="6" borderId="7" xfId="6" applyFont="1" applyFill="1" applyBorder="1"/>
    <xf numFmtId="0" fontId="4" fillId="0" borderId="0" xfId="6"/>
    <xf numFmtId="14" fontId="6" fillId="0" borderId="0" xfId="6" applyNumberFormat="1" applyFont="1"/>
    <xf numFmtId="0" fontId="6" fillId="0" borderId="0" xfId="6" applyFont="1"/>
    <xf numFmtId="44" fontId="17" fillId="0" borderId="0" xfId="7" applyFont="1"/>
    <xf numFmtId="44" fontId="4" fillId="0" borderId="0" xfId="6" applyNumberFormat="1"/>
    <xf numFmtId="14" fontId="4" fillId="0" borderId="0" xfId="6" applyNumberFormat="1"/>
    <xf numFmtId="0" fontId="17" fillId="0" borderId="0" xfId="6" applyFont="1"/>
    <xf numFmtId="0" fontId="4" fillId="0" borderId="0" xfId="6" applyAlignment="1">
      <alignment horizontal="center"/>
    </xf>
    <xf numFmtId="49" fontId="8" fillId="3" borderId="2" xfId="6" applyNumberFormat="1" applyFont="1" applyFill="1" applyBorder="1" applyAlignment="1">
      <alignment horizontal="center" vertical="center" wrapText="1"/>
    </xf>
    <xf numFmtId="49" fontId="8" fillId="3" borderId="2" xfId="6" applyNumberFormat="1" applyFont="1" applyFill="1" applyBorder="1" applyAlignment="1">
      <alignment horizontal="center" vertical="center"/>
    </xf>
    <xf numFmtId="49" fontId="8" fillId="3" borderId="3" xfId="6" applyNumberFormat="1" applyFont="1" applyFill="1" applyBorder="1" applyAlignment="1">
      <alignment horizontal="center" vertical="center"/>
    </xf>
    <xf numFmtId="0" fontId="9" fillId="0" borderId="1" xfId="6" applyFont="1" applyBorder="1" applyAlignment="1">
      <alignment horizontal="center" vertical="center" wrapText="1"/>
    </xf>
    <xf numFmtId="0" fontId="9" fillId="0" borderId="0" xfId="6" applyFont="1" applyAlignment="1">
      <alignment horizontal="center" vertical="center" wrapText="1"/>
    </xf>
    <xf numFmtId="0" fontId="11" fillId="0" borderId="0" xfId="6" applyFont="1" applyAlignment="1">
      <alignment horizontal="center" vertical="center"/>
    </xf>
    <xf numFmtId="0" fontId="11" fillId="7" borderId="1" xfId="6" applyFont="1" applyFill="1" applyBorder="1" applyAlignment="1">
      <alignment horizontal="center" vertical="center"/>
    </xf>
    <xf numFmtId="165" fontId="10" fillId="4" borderId="2" xfId="6" applyNumberFormat="1" applyFont="1" applyFill="1" applyBorder="1" applyAlignment="1">
      <alignment horizontal="right" readingOrder="2"/>
    </xf>
    <xf numFmtId="14" fontId="11" fillId="4" borderId="2" xfId="6" applyNumberFormat="1" applyFont="1" applyFill="1" applyBorder="1"/>
    <xf numFmtId="165" fontId="10" fillId="4" borderId="2" xfId="6" applyNumberFormat="1" applyFont="1" applyFill="1" applyBorder="1" applyAlignment="1">
      <alignment readingOrder="2"/>
    </xf>
    <xf numFmtId="0" fontId="11" fillId="4" borderId="2" xfId="6" applyFont="1" applyFill="1" applyBorder="1"/>
    <xf numFmtId="9" fontId="11" fillId="4" borderId="3" xfId="6" applyNumberFormat="1" applyFont="1" applyFill="1" applyBorder="1"/>
    <xf numFmtId="166" fontId="11" fillId="0" borderId="1" xfId="8" applyNumberFormat="1" applyFont="1" applyBorder="1"/>
    <xf numFmtId="0" fontId="11" fillId="0" borderId="1" xfId="6" applyFont="1" applyBorder="1"/>
    <xf numFmtId="14" fontId="11" fillId="0" borderId="0" xfId="6" applyNumberFormat="1" applyFont="1"/>
    <xf numFmtId="166" fontId="11" fillId="0" borderId="1" xfId="6" applyNumberFormat="1" applyFont="1" applyBorder="1" applyAlignment="1">
      <alignment horizontal="center" vertical="center" wrapText="1"/>
    </xf>
    <xf numFmtId="166" fontId="11" fillId="0" borderId="0" xfId="6" applyNumberFormat="1" applyFont="1"/>
    <xf numFmtId="0" fontId="11" fillId="0" borderId="0" xfId="6" applyFont="1"/>
    <xf numFmtId="0" fontId="11" fillId="7" borderId="1" xfId="6" applyFont="1" applyFill="1" applyBorder="1"/>
    <xf numFmtId="165" fontId="10" fillId="3" borderId="2" xfId="6" applyNumberFormat="1" applyFont="1" applyFill="1" applyBorder="1" applyAlignment="1">
      <alignment horizontal="right" readingOrder="2"/>
    </xf>
    <xf numFmtId="14" fontId="11" fillId="3" borderId="2" xfId="6" applyNumberFormat="1" applyFont="1" applyFill="1" applyBorder="1"/>
    <xf numFmtId="165" fontId="10" fillId="3" borderId="2" xfId="6" applyNumberFormat="1" applyFont="1" applyFill="1" applyBorder="1" applyAlignment="1">
      <alignment readingOrder="2"/>
    </xf>
    <xf numFmtId="0" fontId="11" fillId="3" borderId="2" xfId="6" applyFont="1" applyFill="1" applyBorder="1"/>
    <xf numFmtId="9" fontId="11" fillId="3" borderId="3" xfId="6" applyNumberFormat="1" applyFont="1" applyFill="1" applyBorder="1"/>
    <xf numFmtId="0" fontId="11" fillId="3" borderId="2" xfId="6" applyFont="1" applyFill="1" applyBorder="1" applyAlignment="1">
      <alignment horizontal="right"/>
    </xf>
    <xf numFmtId="0" fontId="11" fillId="4" borderId="2" xfId="6" applyFont="1" applyFill="1" applyBorder="1" applyAlignment="1">
      <alignment horizontal="right"/>
    </xf>
    <xf numFmtId="165" fontId="10" fillId="4" borderId="4" xfId="6" applyNumberFormat="1" applyFont="1" applyFill="1" applyBorder="1" applyAlignment="1">
      <alignment horizontal="right" readingOrder="2"/>
    </xf>
    <xf numFmtId="14" fontId="11" fillId="4" borderId="4" xfId="6" applyNumberFormat="1" applyFont="1" applyFill="1" applyBorder="1"/>
    <xf numFmtId="165" fontId="10" fillId="4" borderId="4" xfId="6" applyNumberFormat="1" applyFont="1" applyFill="1" applyBorder="1" applyAlignment="1">
      <alignment readingOrder="2"/>
    </xf>
    <xf numFmtId="0" fontId="11" fillId="4" borderId="4" xfId="6" applyFont="1" applyFill="1" applyBorder="1"/>
    <xf numFmtId="9" fontId="11" fillId="4" borderId="1" xfId="6" applyNumberFormat="1" applyFont="1" applyFill="1" applyBorder="1"/>
    <xf numFmtId="0" fontId="10" fillId="0" borderId="0" xfId="6" applyFont="1"/>
    <xf numFmtId="165" fontId="24" fillId="4" borderId="1" xfId="0" applyNumberFormat="1" applyFont="1" applyFill="1" applyBorder="1" applyAlignment="1">
      <alignment readingOrder="2"/>
    </xf>
    <xf numFmtId="166" fontId="0" fillId="0" borderId="1" xfId="8" applyNumberFormat="1" applyFont="1" applyBorder="1"/>
    <xf numFmtId="0" fontId="0" fillId="0" borderId="1" xfId="0" applyBorder="1"/>
    <xf numFmtId="165" fontId="24" fillId="3" borderId="1" xfId="0" applyNumberFormat="1" applyFont="1" applyFill="1" applyBorder="1" applyAlignment="1">
      <alignment readingOrder="2"/>
    </xf>
    <xf numFmtId="0" fontId="25" fillId="0" borderId="0" xfId="10"/>
    <xf numFmtId="0" fontId="11" fillId="3" borderId="0" xfId="6" applyFont="1" applyFill="1" applyAlignment="1">
      <alignment horizontal="center" vertical="center"/>
    </xf>
    <xf numFmtId="0" fontId="11" fillId="3" borderId="0" xfId="6" applyFont="1" applyFill="1"/>
    <xf numFmtId="0" fontId="10" fillId="3" borderId="0" xfId="6" applyFont="1" applyFill="1"/>
    <xf numFmtId="0" fontId="12" fillId="3" borderId="0" xfId="6" applyFont="1" applyFill="1"/>
    <xf numFmtId="166" fontId="18" fillId="3" borderId="0" xfId="8" applyNumberFormat="1" applyFont="1" applyFill="1" applyBorder="1"/>
    <xf numFmtId="0" fontId="19" fillId="3" borderId="0" xfId="6" applyFont="1" applyFill="1"/>
    <xf numFmtId="49" fontId="8" fillId="3" borderId="0" xfId="6" applyNumberFormat="1" applyFont="1" applyFill="1" applyAlignment="1">
      <alignment horizontal="center" vertical="center" wrapText="1"/>
    </xf>
    <xf numFmtId="49" fontId="8" fillId="3" borderId="0" xfId="6" applyNumberFormat="1" applyFont="1" applyFill="1" applyAlignment="1">
      <alignment horizontal="center" vertical="center"/>
    </xf>
    <xf numFmtId="0" fontId="9" fillId="3" borderId="0" xfId="6" applyFont="1" applyFill="1" applyAlignment="1">
      <alignment horizontal="center" vertical="center" wrapText="1"/>
    </xf>
    <xf numFmtId="0" fontId="12" fillId="3" borderId="0" xfId="6" applyFont="1" applyFill="1" applyAlignment="1">
      <alignment vertical="center"/>
    </xf>
    <xf numFmtId="165" fontId="10" fillId="4" borderId="0" xfId="6" applyNumberFormat="1" applyFont="1" applyFill="1" applyAlignment="1">
      <alignment horizontal="right" readingOrder="2"/>
    </xf>
    <xf numFmtId="14" fontId="11" fillId="4" borderId="0" xfId="6" applyNumberFormat="1" applyFont="1" applyFill="1"/>
    <xf numFmtId="165" fontId="10" fillId="4" borderId="0" xfId="6" applyNumberFormat="1" applyFont="1" applyFill="1" applyAlignment="1">
      <alignment readingOrder="2"/>
    </xf>
    <xf numFmtId="0" fontId="11" fillId="4" borderId="0" xfId="6" applyFont="1" applyFill="1"/>
    <xf numFmtId="166" fontId="11" fillId="3" borderId="0" xfId="8" applyNumberFormat="1" applyFont="1" applyFill="1" applyBorder="1"/>
    <xf numFmtId="166" fontId="10" fillId="3" borderId="0" xfId="8" applyNumberFormat="1" applyFont="1" applyFill="1" applyBorder="1"/>
    <xf numFmtId="165" fontId="10" fillId="3" borderId="0" xfId="6" applyNumberFormat="1" applyFont="1" applyFill="1" applyAlignment="1">
      <alignment horizontal="right" readingOrder="2"/>
    </xf>
    <xf numFmtId="14" fontId="11" fillId="3" borderId="0" xfId="6" applyNumberFormat="1" applyFont="1" applyFill="1"/>
    <xf numFmtId="165" fontId="10" fillId="3" borderId="0" xfId="6" applyNumberFormat="1" applyFont="1" applyFill="1" applyAlignment="1">
      <alignment readingOrder="2"/>
    </xf>
    <xf numFmtId="0" fontId="11" fillId="3" borderId="0" xfId="6" applyFont="1" applyFill="1" applyAlignment="1">
      <alignment horizontal="right"/>
    </xf>
    <xf numFmtId="166" fontId="20" fillId="3" borderId="0" xfId="6" applyNumberFormat="1" applyFont="1" applyFill="1"/>
    <xf numFmtId="169" fontId="12" fillId="3" borderId="0" xfId="9" applyNumberFormat="1" applyFont="1" applyFill="1" applyBorder="1"/>
    <xf numFmtId="49" fontId="22" fillId="3" borderId="0" xfId="0" applyNumberFormat="1" applyFont="1" applyFill="1" applyAlignment="1">
      <alignment horizontal="center" vertical="center" wrapText="1"/>
    </xf>
    <xf numFmtId="0" fontId="23" fillId="3" borderId="0" xfId="0" applyFont="1" applyFill="1" applyAlignment="1">
      <alignment horizontal="center" vertical="center"/>
    </xf>
    <xf numFmtId="165" fontId="24" fillId="4" borderId="0" xfId="0" applyNumberFormat="1" applyFont="1" applyFill="1" applyAlignment="1">
      <alignment readingOrder="2"/>
    </xf>
    <xf numFmtId="166" fontId="0" fillId="3" borderId="0" xfId="8" applyNumberFormat="1" applyFont="1" applyFill="1" applyBorder="1"/>
    <xf numFmtId="165" fontId="24" fillId="3" borderId="0" xfId="0" applyNumberFormat="1" applyFont="1" applyFill="1" applyAlignment="1">
      <alignment readingOrder="2"/>
    </xf>
    <xf numFmtId="0" fontId="12" fillId="3" borderId="0" xfId="6" applyFont="1" applyFill="1" applyAlignment="1">
      <alignment horizontal="center" vertical="center"/>
    </xf>
    <xf numFmtId="166" fontId="11" fillId="3" borderId="0" xfId="6" applyNumberFormat="1" applyFont="1" applyFill="1" applyAlignment="1">
      <alignment horizontal="center" vertical="center" wrapText="1"/>
    </xf>
    <xf numFmtId="166" fontId="11" fillId="3" borderId="0" xfId="6" applyNumberFormat="1" applyFont="1" applyFill="1"/>
    <xf numFmtId="0" fontId="11" fillId="8" borderId="0" xfId="6" applyFont="1" applyFill="1"/>
    <xf numFmtId="49" fontId="8" fillId="8" borderId="0" xfId="6" applyNumberFormat="1" applyFont="1" applyFill="1" applyAlignment="1">
      <alignment horizontal="center" vertical="center"/>
    </xf>
    <xf numFmtId="0" fontId="12" fillId="3" borderId="0" xfId="6" applyFont="1" applyFill="1" applyAlignment="1">
      <alignment horizontal="right"/>
    </xf>
    <xf numFmtId="0" fontId="21" fillId="3" borderId="0" xfId="0" applyFont="1" applyFill="1" applyAlignment="1">
      <alignment horizontal="center"/>
    </xf>
    <xf numFmtId="0" fontId="9" fillId="5" borderId="0" xfId="6" applyFont="1" applyFill="1" applyAlignment="1">
      <alignment horizontal="center" vertical="center" wrapText="1"/>
    </xf>
    <xf numFmtId="0" fontId="9" fillId="9" borderId="0" xfId="6" applyFont="1" applyFill="1" applyAlignment="1">
      <alignment horizontal="center" vertical="center" wrapText="1"/>
    </xf>
    <xf numFmtId="0" fontId="9" fillId="10" borderId="0" xfId="6" applyFont="1" applyFill="1" applyAlignment="1">
      <alignment horizontal="center" vertical="center" wrapText="1"/>
    </xf>
    <xf numFmtId="0" fontId="23" fillId="5" borderId="1" xfId="0" applyFont="1" applyFill="1" applyBorder="1" applyAlignment="1">
      <alignment horizontal="center" vertical="center" wrapText="1"/>
    </xf>
    <xf numFmtId="49" fontId="22" fillId="11" borderId="1" xfId="0" applyNumberFormat="1" applyFont="1" applyFill="1" applyBorder="1" applyAlignment="1">
      <alignment horizontal="center" vertical="center" wrapText="1"/>
    </xf>
    <xf numFmtId="49" fontId="8" fillId="11" borderId="2" xfId="6" applyNumberFormat="1" applyFont="1" applyFill="1" applyBorder="1" applyAlignment="1">
      <alignment horizontal="center" vertical="center" wrapText="1"/>
    </xf>
    <xf numFmtId="0" fontId="23" fillId="10" borderId="1" xfId="0" applyFont="1" applyFill="1" applyBorder="1" applyAlignment="1">
      <alignment horizontal="center" vertical="center"/>
    </xf>
    <xf numFmtId="0" fontId="11" fillId="3" borderId="3" xfId="6" applyFont="1" applyFill="1" applyBorder="1"/>
    <xf numFmtId="0" fontId="26" fillId="8" borderId="0" xfId="6" applyFont="1" applyFill="1" applyAlignment="1">
      <alignment horizontal="center" vertical="center" wrapText="1"/>
    </xf>
    <xf numFmtId="0" fontId="11" fillId="0" borderId="0" xfId="0" applyFont="1" applyAlignment="1">
      <alignment horizontal="center" vertical="center"/>
    </xf>
    <xf numFmtId="14" fontId="11" fillId="0" borderId="0" xfId="0" applyNumberFormat="1" applyFont="1"/>
    <xf numFmtId="49" fontId="8" fillId="0" borderId="0" xfId="0" applyNumberFormat="1" applyFont="1" applyAlignment="1">
      <alignment horizontal="center" vertical="center"/>
    </xf>
    <xf numFmtId="0" fontId="9" fillId="0" borderId="0" xfId="0" applyFont="1" applyAlignment="1">
      <alignment horizontal="center" vertical="center" wrapText="1"/>
    </xf>
    <xf numFmtId="165" fontId="10" fillId="0" borderId="0" xfId="0" applyNumberFormat="1" applyFont="1" applyAlignment="1">
      <alignment readingOrder="2"/>
    </xf>
    <xf numFmtId="0" fontId="12" fillId="0" borderId="0" xfId="0" applyFont="1" applyAlignment="1">
      <alignment horizontal="center" vertical="center"/>
    </xf>
    <xf numFmtId="166" fontId="11" fillId="0" borderId="0" xfId="0" applyNumberFormat="1" applyFont="1" applyAlignment="1">
      <alignment horizontal="center" vertical="center" wrapText="1"/>
    </xf>
    <xf numFmtId="166" fontId="11" fillId="0" borderId="0" xfId="0" applyNumberFormat="1" applyFont="1"/>
    <xf numFmtId="0" fontId="12" fillId="0" borderId="0" xfId="0" applyFont="1" applyAlignment="1">
      <alignment horizontal="center" vertical="center" wrapText="1"/>
    </xf>
    <xf numFmtId="0" fontId="28" fillId="0" borderId="0" xfId="0" applyFont="1"/>
    <xf numFmtId="0" fontId="27" fillId="0" borderId="0" xfId="0" applyFont="1"/>
    <xf numFmtId="0" fontId="29" fillId="0" borderId="0" xfId="0" applyFont="1"/>
    <xf numFmtId="166" fontId="27" fillId="3" borderId="0" xfId="0" applyNumberFormat="1" applyFont="1" applyFill="1" applyAlignment="1">
      <alignment horizontal="center" vertical="center" wrapText="1"/>
    </xf>
    <xf numFmtId="49" fontId="8" fillId="9" borderId="2" xfId="0" applyNumberFormat="1" applyFont="1" applyFill="1" applyBorder="1" applyAlignment="1">
      <alignment horizontal="center" vertical="center" wrapText="1"/>
    </xf>
    <xf numFmtId="0" fontId="9" fillId="9" borderId="1" xfId="0" applyFont="1" applyFill="1" applyBorder="1" applyAlignment="1">
      <alignment horizontal="center" vertical="center" wrapText="1"/>
    </xf>
    <xf numFmtId="0" fontId="0" fillId="3" borderId="0" xfId="0" applyFill="1"/>
    <xf numFmtId="0" fontId="28" fillId="5" borderId="0" xfId="0" applyFont="1" applyFill="1" applyAlignment="1">
      <alignment vertical="center"/>
    </xf>
    <xf numFmtId="0" fontId="28" fillId="5" borderId="0" xfId="0" applyFont="1" applyFill="1"/>
    <xf numFmtId="0" fontId="28" fillId="10" borderId="0" xfId="0" applyFont="1" applyFill="1"/>
    <xf numFmtId="0" fontId="30" fillId="0" borderId="0" xfId="0" applyFont="1" applyAlignment="1">
      <alignment horizontal="center" vertical="center"/>
    </xf>
    <xf numFmtId="0" fontId="28" fillId="8" borderId="0" xfId="0" applyFont="1" applyFill="1"/>
    <xf numFmtId="0" fontId="5" fillId="3" borderId="0" xfId="3" applyFill="1"/>
    <xf numFmtId="9" fontId="13" fillId="3" borderId="0" xfId="4" applyFont="1" applyFill="1"/>
    <xf numFmtId="0" fontId="5" fillId="3" borderId="0" xfId="3" applyFill="1" applyAlignment="1">
      <alignment wrapText="1"/>
    </xf>
    <xf numFmtId="43" fontId="0" fillId="3" borderId="0" xfId="5" applyFont="1" applyFill="1" applyBorder="1" applyAlignment="1">
      <alignment wrapText="1"/>
    </xf>
    <xf numFmtId="43" fontId="0" fillId="3" borderId="0" xfId="5" applyFont="1" applyFill="1" applyBorder="1"/>
    <xf numFmtId="2" fontId="0" fillId="3" borderId="0" xfId="5" applyNumberFormat="1" applyFont="1" applyFill="1" applyBorder="1"/>
    <xf numFmtId="0" fontId="7" fillId="3" borderId="0" xfId="3" applyFont="1" applyFill="1" applyAlignment="1">
      <alignment wrapText="1"/>
    </xf>
    <xf numFmtId="0" fontId="7" fillId="5" borderId="1" xfId="3" applyFont="1" applyFill="1" applyBorder="1" applyAlignment="1">
      <alignment wrapText="1"/>
    </xf>
    <xf numFmtId="0" fontId="5" fillId="5" borderId="0" xfId="3" applyFill="1" applyAlignment="1">
      <alignment wrapText="1"/>
    </xf>
    <xf numFmtId="9" fontId="11" fillId="4" borderId="0" xfId="6" applyNumberFormat="1" applyFont="1" applyFill="1"/>
    <xf numFmtId="9" fontId="11" fillId="3" borderId="0" xfId="6" applyNumberFormat="1" applyFont="1" applyFill="1"/>
    <xf numFmtId="49" fontId="31" fillId="3" borderId="2" xfId="6" applyNumberFormat="1" applyFont="1" applyFill="1" applyBorder="1" applyAlignment="1">
      <alignment horizontal="center" vertical="center"/>
    </xf>
    <xf numFmtId="0" fontId="31" fillId="0" borderId="1" xfId="6" applyFont="1" applyBorder="1" applyAlignment="1">
      <alignment horizontal="center" vertical="center" wrapText="1"/>
    </xf>
    <xf numFmtId="49" fontId="12" fillId="3" borderId="0" xfId="6" applyNumberFormat="1" applyFont="1" applyFill="1"/>
    <xf numFmtId="165" fontId="10" fillId="4" borderId="0" xfId="6" applyNumberFormat="1" applyFont="1" applyFill="1" applyAlignment="1">
      <alignment readingOrder="1"/>
    </xf>
    <xf numFmtId="9" fontId="4" fillId="0" borderId="0" xfId="6" applyNumberFormat="1"/>
    <xf numFmtId="9" fontId="0" fillId="0" borderId="0" xfId="9" applyFont="1"/>
    <xf numFmtId="10" fontId="13" fillId="5" borderId="0" xfId="9" applyNumberFormat="1" applyFont="1" applyFill="1"/>
    <xf numFmtId="0" fontId="32" fillId="0" borderId="0" xfId="10" applyFont="1"/>
    <xf numFmtId="0" fontId="33" fillId="0" borderId="0" xfId="13"/>
    <xf numFmtId="0" fontId="33" fillId="0" borderId="0" xfId="10" applyFont="1"/>
    <xf numFmtId="14" fontId="33" fillId="0" borderId="0" xfId="10" applyNumberFormat="1" applyFont="1"/>
    <xf numFmtId="170" fontId="33" fillId="0" borderId="0" xfId="10" applyNumberFormat="1" applyFont="1"/>
    <xf numFmtId="171" fontId="33" fillId="0" borderId="0" xfId="13" applyNumberFormat="1"/>
    <xf numFmtId="1" fontId="33" fillId="0" borderId="0" xfId="13" applyNumberFormat="1"/>
    <xf numFmtId="172" fontId="33" fillId="0" borderId="0" xfId="13" applyNumberFormat="1"/>
    <xf numFmtId="6" fontId="33" fillId="0" borderId="0" xfId="13" applyNumberFormat="1"/>
    <xf numFmtId="14" fontId="33" fillId="0" borderId="0" xfId="13" applyNumberFormat="1"/>
    <xf numFmtId="8" fontId="33" fillId="0" borderId="0" xfId="13" applyNumberFormat="1"/>
    <xf numFmtId="9" fontId="33" fillId="0" borderId="0" xfId="13" applyNumberFormat="1"/>
    <xf numFmtId="0" fontId="25" fillId="3" borderId="0" xfId="10" applyFill="1"/>
    <xf numFmtId="9" fontId="33" fillId="3" borderId="0" xfId="12" applyFont="1" applyFill="1" applyBorder="1"/>
    <xf numFmtId="0" fontId="33" fillId="3" borderId="0" xfId="13" applyFill="1"/>
    <xf numFmtId="0" fontId="4" fillId="9" borderId="0" xfId="6" applyFill="1"/>
    <xf numFmtId="0" fontId="28" fillId="8" borderId="0" xfId="0" applyFont="1" applyFill="1" applyAlignment="1">
      <alignment horizontal="center"/>
    </xf>
    <xf numFmtId="0" fontId="28" fillId="5" borderId="0" xfId="0" applyFont="1" applyFill="1" applyAlignment="1">
      <alignment horizontal="center" vertical="center"/>
    </xf>
    <xf numFmtId="0" fontId="28" fillId="10" borderId="0" xfId="0" applyFont="1" applyFill="1" applyAlignment="1">
      <alignment horizontal="center"/>
    </xf>
    <xf numFmtId="0" fontId="0" fillId="5" borderId="0" xfId="0" applyFill="1"/>
    <xf numFmtId="0" fontId="0" fillId="10" borderId="0" xfId="0" applyFill="1"/>
    <xf numFmtId="0" fontId="0" fillId="8" borderId="0" xfId="0" applyFill="1"/>
    <xf numFmtId="0" fontId="7" fillId="8" borderId="1" xfId="3" applyFont="1" applyFill="1" applyBorder="1" applyAlignment="1">
      <alignment wrapText="1"/>
    </xf>
    <xf numFmtId="0" fontId="5" fillId="8" borderId="0" xfId="3" applyFill="1" applyAlignment="1">
      <alignment wrapText="1"/>
    </xf>
    <xf numFmtId="0" fontId="34" fillId="0" borderId="0" xfId="0" applyFont="1" applyAlignment="1">
      <alignment horizontal="center" vertical="center" wrapText="1"/>
    </xf>
    <xf numFmtId="1" fontId="0" fillId="0" borderId="0" xfId="0" applyNumberFormat="1" applyAlignment="1">
      <alignment horizontal="right"/>
    </xf>
    <xf numFmtId="0" fontId="0" fillId="0" borderId="0" xfId="0" applyAlignment="1" applyProtection="1">
      <alignment horizontal="right"/>
      <protection locked="0"/>
    </xf>
    <xf numFmtId="0" fontId="0" fillId="0" borderId="0" xfId="0" applyAlignment="1">
      <alignment horizontal="right"/>
    </xf>
    <xf numFmtId="173" fontId="0" fillId="0" borderId="0" xfId="0" applyNumberFormat="1" applyAlignment="1">
      <alignment horizontal="right"/>
    </xf>
    <xf numFmtId="166" fontId="0" fillId="0" borderId="0" xfId="11" applyNumberFormat="1" applyFont="1" applyAlignment="1">
      <alignment horizontal="right"/>
    </xf>
    <xf numFmtId="0" fontId="25" fillId="0" borderId="0" xfId="0" applyFont="1" applyAlignment="1">
      <alignment horizontal="right"/>
    </xf>
    <xf numFmtId="0" fontId="34" fillId="5" borderId="0" xfId="0" applyFont="1" applyFill="1" applyAlignment="1">
      <alignment horizontal="center" vertical="center" wrapText="1"/>
    </xf>
    <xf numFmtId="14" fontId="0" fillId="3" borderId="0" xfId="0" applyNumberFormat="1" applyFill="1"/>
    <xf numFmtId="0" fontId="34" fillId="3" borderId="0" xfId="0" applyFont="1" applyFill="1" applyAlignment="1">
      <alignment horizontal="center" vertical="center" wrapText="1"/>
    </xf>
    <xf numFmtId="0" fontId="0" fillId="3" borderId="0" xfId="0" applyFill="1" applyAlignment="1">
      <alignment horizontal="right"/>
    </xf>
    <xf numFmtId="2" fontId="0" fillId="0" borderId="0" xfId="0" applyNumberFormat="1"/>
    <xf numFmtId="0" fontId="35" fillId="3" borderId="0" xfId="0" applyFont="1" applyFill="1" applyAlignment="1">
      <alignment horizontal="center"/>
    </xf>
    <xf numFmtId="0" fontId="35" fillId="3" borderId="0" xfId="0" applyFont="1" applyFill="1" applyAlignment="1">
      <alignment horizontal="right"/>
    </xf>
    <xf numFmtId="0" fontId="37" fillId="3" borderId="0" xfId="0" applyFont="1" applyFill="1" applyAlignment="1">
      <alignment horizontal="center" vertical="center" readingOrder="2"/>
    </xf>
    <xf numFmtId="0" fontId="28" fillId="10" borderId="0" xfId="0" applyFont="1" applyFill="1" applyAlignment="1">
      <alignment horizontal="center" vertical="center"/>
    </xf>
    <xf numFmtId="0" fontId="30" fillId="10" borderId="0" xfId="0" applyFont="1" applyFill="1" applyAlignment="1">
      <alignment horizontal="center"/>
    </xf>
    <xf numFmtId="0" fontId="28" fillId="3" borderId="0" xfId="0" applyFont="1" applyFill="1"/>
    <xf numFmtId="0" fontId="0" fillId="5" borderId="5" xfId="0" applyFill="1" applyBorder="1" applyAlignment="1">
      <alignment horizontal="right" vertical="center" wrapText="1"/>
    </xf>
    <xf numFmtId="0" fontId="0" fillId="5" borderId="11" xfId="0" applyFill="1" applyBorder="1" applyAlignment="1">
      <alignment horizontal="right" vertical="center" wrapText="1"/>
    </xf>
    <xf numFmtId="0" fontId="0" fillId="5" borderId="11" xfId="0" applyFill="1" applyBorder="1" applyAlignment="1">
      <alignment horizontal="right" vertical="center"/>
    </xf>
    <xf numFmtId="0" fontId="28" fillId="5" borderId="11" xfId="0" applyFont="1" applyFill="1" applyBorder="1" applyAlignment="1">
      <alignment horizontal="right" vertical="center"/>
    </xf>
    <xf numFmtId="0" fontId="28" fillId="5" borderId="11" xfId="0" applyFont="1" applyFill="1" applyBorder="1" applyAlignment="1">
      <alignment horizontal="left" vertical="center"/>
    </xf>
    <xf numFmtId="0" fontId="28" fillId="5" borderId="11" xfId="0" applyFont="1" applyFill="1" applyBorder="1"/>
    <xf numFmtId="0" fontId="0" fillId="5" borderId="11" xfId="0" applyFill="1" applyBorder="1" applyAlignment="1">
      <alignment wrapText="1"/>
    </xf>
    <xf numFmtId="0" fontId="0" fillId="5" borderId="6" xfId="0" applyFill="1" applyBorder="1" applyAlignment="1">
      <alignment wrapText="1"/>
    </xf>
    <xf numFmtId="0" fontId="4" fillId="3" borderId="0" xfId="3" applyFont="1" applyFill="1" applyAlignment="1">
      <alignment horizontal="center" vertical="center"/>
    </xf>
    <xf numFmtId="0" fontId="4" fillId="3" borderId="0" xfId="3" applyFont="1" applyFill="1"/>
    <xf numFmtId="14" fontId="5" fillId="3" borderId="0" xfId="3" applyNumberFormat="1" applyFill="1"/>
    <xf numFmtId="0" fontId="5" fillId="0" borderId="8" xfId="3" applyBorder="1"/>
    <xf numFmtId="14" fontId="13" fillId="3" borderId="0" xfId="3" applyNumberFormat="1" applyFont="1" applyFill="1"/>
    <xf numFmtId="0" fontId="7" fillId="3" borderId="0" xfId="3" applyFont="1" applyFill="1"/>
    <xf numFmtId="0" fontId="5" fillId="0" borderId="7" xfId="3" applyBorder="1"/>
    <xf numFmtId="0" fontId="4" fillId="9" borderId="1" xfId="3" applyFont="1" applyFill="1" applyBorder="1"/>
    <xf numFmtId="0" fontId="5" fillId="0" borderId="2" xfId="3" applyBorder="1"/>
    <xf numFmtId="0" fontId="5" fillId="0" borderId="12" xfId="3" applyBorder="1"/>
    <xf numFmtId="0" fontId="5" fillId="0" borderId="13" xfId="3" applyBorder="1"/>
    <xf numFmtId="0" fontId="5" fillId="0" borderId="9" xfId="3" applyBorder="1"/>
    <xf numFmtId="0" fontId="5" fillId="0" borderId="14" xfId="3" applyBorder="1"/>
    <xf numFmtId="0" fontId="5" fillId="0" borderId="15" xfId="3" applyBorder="1"/>
    <xf numFmtId="0" fontId="4" fillId="0" borderId="16" xfId="3" applyFont="1" applyBorder="1"/>
    <xf numFmtId="0" fontId="5" fillId="0" borderId="16" xfId="3" applyBorder="1"/>
    <xf numFmtId="0" fontId="5" fillId="0" borderId="17" xfId="3" applyBorder="1"/>
    <xf numFmtId="0" fontId="5" fillId="5" borderId="12" xfId="3" applyFill="1" applyBorder="1"/>
    <xf numFmtId="0" fontId="11" fillId="5" borderId="0" xfId="6" applyFont="1" applyFill="1"/>
    <xf numFmtId="0" fontId="27" fillId="0" borderId="0" xfId="6" applyFont="1"/>
    <xf numFmtId="9" fontId="13" fillId="3" borderId="0" xfId="4" applyFont="1" applyFill="1" applyBorder="1"/>
    <xf numFmtId="9" fontId="5" fillId="3" borderId="0" xfId="2" applyFont="1" applyFill="1"/>
    <xf numFmtId="166" fontId="11" fillId="0" borderId="3" xfId="6" applyNumberFormat="1" applyFont="1" applyBorder="1" applyAlignment="1">
      <alignment horizontal="center" vertical="center" wrapText="1"/>
    </xf>
    <xf numFmtId="0" fontId="3" fillId="5" borderId="2" xfId="3" applyFont="1" applyFill="1" applyBorder="1"/>
    <xf numFmtId="0" fontId="3" fillId="5" borderId="12" xfId="3" applyFont="1" applyFill="1" applyBorder="1"/>
    <xf numFmtId="0" fontId="5" fillId="5" borderId="13" xfId="3" applyFill="1" applyBorder="1"/>
    <xf numFmtId="0" fontId="3" fillId="5" borderId="9" xfId="3" applyFont="1" applyFill="1" applyBorder="1"/>
    <xf numFmtId="0" fontId="3" fillId="5" borderId="0" xfId="3" applyFont="1" applyFill="1"/>
    <xf numFmtId="0" fontId="5" fillId="5" borderId="0" xfId="3" applyFill="1"/>
    <xf numFmtId="0" fontId="5" fillId="5" borderId="14" xfId="3" applyFill="1" applyBorder="1"/>
    <xf numFmtId="0" fontId="3" fillId="5" borderId="15" xfId="3" applyFont="1" applyFill="1" applyBorder="1"/>
    <xf numFmtId="0" fontId="3" fillId="5" borderId="16" xfId="3" applyFont="1" applyFill="1" applyBorder="1"/>
    <xf numFmtId="0" fontId="5" fillId="5" borderId="16" xfId="3" applyFill="1" applyBorder="1"/>
    <xf numFmtId="0" fontId="5" fillId="5" borderId="17" xfId="3" applyFill="1" applyBorder="1"/>
    <xf numFmtId="0" fontId="7" fillId="5" borderId="1" xfId="0" applyFont="1" applyFill="1" applyBorder="1" applyAlignment="1">
      <alignment wrapText="1"/>
    </xf>
    <xf numFmtId="0" fontId="0" fillId="5" borderId="0" xfId="0" applyFill="1" applyAlignment="1">
      <alignment vertical="center" wrapText="1"/>
    </xf>
    <xf numFmtId="14" fontId="28" fillId="0" borderId="0" xfId="0" applyNumberFormat="1" applyFont="1"/>
    <xf numFmtId="0" fontId="7" fillId="12" borderId="9" xfId="0" applyFont="1" applyFill="1" applyBorder="1" applyAlignment="1">
      <alignment wrapText="1"/>
    </xf>
    <xf numFmtId="166" fontId="11" fillId="0" borderId="4" xfId="1" applyNumberFormat="1" applyFont="1" applyBorder="1"/>
    <xf numFmtId="0" fontId="13" fillId="3" borderId="0" xfId="3" applyFont="1" applyFill="1"/>
    <xf numFmtId="0" fontId="38" fillId="3" borderId="0" xfId="3" applyFont="1" applyFill="1"/>
    <xf numFmtId="0" fontId="5" fillId="8" borderId="3" xfId="3" applyFill="1" applyBorder="1" applyAlignment="1">
      <alignment wrapText="1"/>
    </xf>
    <xf numFmtId="0" fontId="7" fillId="3" borderId="1" xfId="3" applyFont="1" applyFill="1" applyBorder="1" applyAlignment="1">
      <alignment wrapText="1"/>
    </xf>
    <xf numFmtId="0" fontId="4" fillId="3" borderId="0" xfId="3" applyFont="1" applyFill="1" applyAlignment="1">
      <alignment wrapText="1"/>
    </xf>
    <xf numFmtId="0" fontId="40" fillId="0" borderId="0" xfId="10" applyFont="1"/>
    <xf numFmtId="1" fontId="40" fillId="0" borderId="0" xfId="13" applyNumberFormat="1" applyFont="1"/>
    <xf numFmtId="172" fontId="40" fillId="0" borderId="0" xfId="13" applyNumberFormat="1" applyFont="1"/>
    <xf numFmtId="6" fontId="40" fillId="0" borderId="0" xfId="13" applyNumberFormat="1" applyFont="1"/>
    <xf numFmtId="0" fontId="40" fillId="0" borderId="0" xfId="13" applyFont="1"/>
    <xf numFmtId="0" fontId="40" fillId="5" borderId="0" xfId="10" applyFont="1" applyFill="1"/>
    <xf numFmtId="1" fontId="40" fillId="5" borderId="0" xfId="13" applyNumberFormat="1" applyFont="1" applyFill="1"/>
    <xf numFmtId="172" fontId="40" fillId="5" borderId="0" xfId="13" applyNumberFormat="1" applyFont="1" applyFill="1"/>
    <xf numFmtId="6" fontId="40" fillId="5" borderId="0" xfId="13" applyNumberFormat="1" applyFont="1" applyFill="1"/>
    <xf numFmtId="0" fontId="40" fillId="5" borderId="0" xfId="13" applyFont="1" applyFill="1"/>
    <xf numFmtId="0" fontId="41" fillId="5" borderId="0" xfId="10" applyFont="1" applyFill="1"/>
    <xf numFmtId="0" fontId="33" fillId="5" borderId="0" xfId="13" applyFill="1"/>
    <xf numFmtId="0" fontId="25" fillId="5" borderId="0" xfId="10" applyFill="1"/>
    <xf numFmtId="0" fontId="31" fillId="5" borderId="1" xfId="6" applyFont="1" applyFill="1" applyBorder="1" applyAlignment="1">
      <alignment horizontal="center" vertical="center" wrapText="1"/>
    </xf>
    <xf numFmtId="49" fontId="31" fillId="5" borderId="2" xfId="6" applyNumberFormat="1" applyFont="1" applyFill="1" applyBorder="1" applyAlignment="1">
      <alignment horizontal="center" vertical="center"/>
    </xf>
    <xf numFmtId="49" fontId="8" fillId="8" borderId="2" xfId="6" applyNumberFormat="1" applyFont="1" applyFill="1" applyBorder="1" applyAlignment="1">
      <alignment horizontal="center" vertical="center" wrapText="1"/>
    </xf>
    <xf numFmtId="0" fontId="11" fillId="0" borderId="20" xfId="6" applyFont="1" applyBorder="1"/>
    <xf numFmtId="0" fontId="11" fillId="0" borderId="21" xfId="6" applyFont="1" applyBorder="1"/>
    <xf numFmtId="0" fontId="10" fillId="5" borderId="0" xfId="6" applyFont="1" applyFill="1"/>
    <xf numFmtId="0" fontId="11" fillId="0" borderId="23" xfId="6" applyFont="1" applyBorder="1"/>
    <xf numFmtId="0" fontId="11" fillId="0" borderId="25" xfId="6" applyFont="1" applyBorder="1"/>
    <xf numFmtId="0" fontId="11" fillId="0" borderId="26" xfId="6" applyFont="1" applyBorder="1"/>
    <xf numFmtId="0" fontId="42" fillId="0" borderId="19" xfId="6" applyFont="1" applyBorder="1"/>
    <xf numFmtId="0" fontId="42" fillId="0" borderId="20" xfId="6" applyFont="1" applyBorder="1"/>
    <xf numFmtId="0" fontId="43" fillId="0" borderId="20" xfId="6" applyFont="1" applyBorder="1"/>
    <xf numFmtId="0" fontId="42" fillId="0" borderId="22" xfId="6" applyFont="1" applyBorder="1"/>
    <xf numFmtId="0" fontId="42" fillId="5" borderId="0" xfId="6" applyFont="1" applyFill="1"/>
    <xf numFmtId="0" fontId="42" fillId="0" borderId="0" xfId="6" applyFont="1"/>
    <xf numFmtId="0" fontId="43" fillId="0" borderId="0" xfId="6" applyFont="1"/>
    <xf numFmtId="0" fontId="43" fillId="0" borderId="22" xfId="6" applyFont="1" applyBorder="1"/>
    <xf numFmtId="0" fontId="43" fillId="3" borderId="0" xfId="6" applyFont="1" applyFill="1"/>
    <xf numFmtId="0" fontId="43" fillId="0" borderId="24" xfId="6" applyFont="1" applyBorder="1"/>
    <xf numFmtId="0" fontId="43" fillId="0" borderId="25" xfId="6" applyFont="1" applyBorder="1"/>
    <xf numFmtId="0" fontId="43" fillId="3" borderId="25" xfId="6" applyFont="1" applyFill="1" applyBorder="1"/>
    <xf numFmtId="0" fontId="43" fillId="8" borderId="0" xfId="6" applyFont="1" applyFill="1"/>
    <xf numFmtId="166" fontId="43" fillId="8" borderId="0" xfId="8" applyNumberFormat="1" applyFont="1" applyFill="1" applyBorder="1"/>
    <xf numFmtId="0" fontId="42" fillId="8" borderId="0" xfId="6" applyFont="1" applyFill="1"/>
    <xf numFmtId="0" fontId="10" fillId="8" borderId="0" xfId="6" applyFont="1" applyFill="1"/>
    <xf numFmtId="166" fontId="44" fillId="8" borderId="0" xfId="6" applyNumberFormat="1" applyFont="1" applyFill="1"/>
    <xf numFmtId="0" fontId="42" fillId="5" borderId="19" xfId="6" applyFont="1" applyFill="1" applyBorder="1"/>
    <xf numFmtId="0" fontId="42" fillId="5" borderId="20" xfId="6" applyFont="1" applyFill="1" applyBorder="1"/>
    <xf numFmtId="0" fontId="43" fillId="5" borderId="20" xfId="6" applyFont="1" applyFill="1" applyBorder="1"/>
    <xf numFmtId="0" fontId="11" fillId="5" borderId="20" xfId="6" applyFont="1" applyFill="1" applyBorder="1"/>
    <xf numFmtId="0" fontId="42" fillId="5" borderId="22" xfId="6" applyFont="1" applyFill="1" applyBorder="1"/>
    <xf numFmtId="0" fontId="43" fillId="5" borderId="0" xfId="6" applyFont="1" applyFill="1"/>
    <xf numFmtId="0" fontId="43" fillId="5" borderId="22" xfId="6" applyFont="1" applyFill="1" applyBorder="1"/>
    <xf numFmtId="0" fontId="43" fillId="5" borderId="24" xfId="6" applyFont="1" applyFill="1" applyBorder="1"/>
    <xf numFmtId="0" fontId="43" fillId="5" borderId="25" xfId="6" applyFont="1" applyFill="1" applyBorder="1"/>
    <xf numFmtId="0" fontId="11" fillId="5" borderId="25" xfId="6" applyFont="1" applyFill="1" applyBorder="1"/>
    <xf numFmtId="0" fontId="0" fillId="5" borderId="20" xfId="0" applyFill="1" applyBorder="1"/>
    <xf numFmtId="0" fontId="0" fillId="5" borderId="21" xfId="0" applyFill="1" applyBorder="1"/>
    <xf numFmtId="0" fontId="0" fillId="5" borderId="23" xfId="0" applyFill="1" applyBorder="1"/>
    <xf numFmtId="0" fontId="0" fillId="5" borderId="25" xfId="0" applyFill="1" applyBorder="1"/>
    <xf numFmtId="0" fontId="0" fillId="5" borderId="26" xfId="0" applyFill="1" applyBorder="1"/>
    <xf numFmtId="0" fontId="2" fillId="5" borderId="0" xfId="3" applyFont="1" applyFill="1"/>
    <xf numFmtId="166" fontId="27" fillId="3" borderId="0" xfId="0" applyNumberFormat="1" applyFont="1" applyFill="1" applyAlignment="1">
      <alignment vertical="center" wrapText="1"/>
    </xf>
    <xf numFmtId="171" fontId="33" fillId="5" borderId="10" xfId="13" applyNumberFormat="1" applyFill="1" applyBorder="1"/>
    <xf numFmtId="0" fontId="4" fillId="5" borderId="0" xfId="3" applyFont="1" applyFill="1"/>
    <xf numFmtId="49" fontId="31" fillId="3" borderId="0" xfId="6" applyNumberFormat="1" applyFont="1" applyFill="1" applyAlignment="1">
      <alignment horizontal="center" vertical="center"/>
    </xf>
    <xf numFmtId="0" fontId="31" fillId="3" borderId="0" xfId="6" applyFont="1" applyFill="1" applyAlignment="1">
      <alignment horizontal="center" vertical="center" wrapText="1"/>
    </xf>
    <xf numFmtId="0" fontId="34" fillId="8" borderId="0" xfId="0" applyFont="1" applyFill="1" applyAlignment="1">
      <alignment horizontal="center" vertical="center" wrapText="1"/>
    </xf>
    <xf numFmtId="0" fontId="27" fillId="8" borderId="0" xfId="6" applyFont="1" applyFill="1"/>
    <xf numFmtId="0" fontId="29" fillId="8" borderId="0" xfId="0" applyFont="1" applyFill="1"/>
    <xf numFmtId="0" fontId="29" fillId="8" borderId="0" xfId="0" applyFont="1" applyFill="1" applyAlignment="1">
      <alignment horizontal="right"/>
    </xf>
    <xf numFmtId="0" fontId="0" fillId="3" borderId="0" xfId="0" applyFill="1" applyAlignment="1">
      <alignment horizontal="center"/>
    </xf>
    <xf numFmtId="0" fontId="28" fillId="10" borderId="5" xfId="0" applyFont="1" applyFill="1" applyBorder="1" applyAlignment="1">
      <alignment vertical="center"/>
    </xf>
    <xf numFmtId="0" fontId="28" fillId="10" borderId="11" xfId="0" applyFont="1" applyFill="1" applyBorder="1" applyAlignment="1">
      <alignment vertical="center"/>
    </xf>
    <xf numFmtId="0" fontId="28" fillId="10" borderId="6" xfId="0" applyFont="1" applyFill="1" applyBorder="1" applyAlignment="1">
      <alignment vertical="center"/>
    </xf>
    <xf numFmtId="14" fontId="28" fillId="3" borderId="0" xfId="0" applyNumberFormat="1" applyFont="1" applyFill="1"/>
    <xf numFmtId="164" fontId="7" fillId="9" borderId="1" xfId="5" applyNumberFormat="1" applyFont="1" applyFill="1" applyBorder="1"/>
    <xf numFmtId="0" fontId="7" fillId="9" borderId="1" xfId="3" applyFont="1" applyFill="1" applyBorder="1"/>
    <xf numFmtId="10" fontId="7" fillId="9" borderId="1" xfId="4" applyNumberFormat="1" applyFont="1" applyFill="1" applyBorder="1"/>
    <xf numFmtId="164" fontId="7" fillId="9" borderId="1" xfId="3" applyNumberFormat="1" applyFont="1" applyFill="1" applyBorder="1"/>
    <xf numFmtId="167" fontId="5" fillId="9" borderId="0" xfId="3" applyNumberFormat="1" applyFill="1"/>
    <xf numFmtId="0" fontId="5" fillId="9" borderId="7" xfId="3" applyFill="1" applyBorder="1"/>
    <xf numFmtId="164" fontId="5" fillId="0" borderId="0" xfId="3" applyNumberFormat="1"/>
    <xf numFmtId="164" fontId="7" fillId="5" borderId="1" xfId="3" applyNumberFormat="1" applyFont="1" applyFill="1" applyBorder="1"/>
    <xf numFmtId="0" fontId="7" fillId="5" borderId="1" xfId="3" applyFont="1" applyFill="1" applyBorder="1"/>
    <xf numFmtId="9" fontId="5" fillId="0" borderId="0" xfId="2" applyFont="1"/>
    <xf numFmtId="49" fontId="8" fillId="3" borderId="18" xfId="6" applyNumberFormat="1" applyFont="1" applyFill="1" applyBorder="1" applyAlignment="1">
      <alignment horizontal="center" vertical="center"/>
    </xf>
    <xf numFmtId="49" fontId="8" fillId="3" borderId="1" xfId="6" applyNumberFormat="1" applyFont="1" applyFill="1" applyBorder="1" applyAlignment="1">
      <alignment horizontal="center" vertical="center" wrapText="1"/>
    </xf>
    <xf numFmtId="165" fontId="10" fillId="4" borderId="18" xfId="6" applyNumberFormat="1" applyFont="1" applyFill="1" applyBorder="1" applyAlignment="1">
      <alignment readingOrder="2"/>
    </xf>
    <xf numFmtId="0" fontId="11" fillId="3" borderId="1" xfId="6" applyFont="1" applyFill="1" applyBorder="1"/>
    <xf numFmtId="165" fontId="10" fillId="3" borderId="1" xfId="6" applyNumberFormat="1" applyFont="1" applyFill="1" applyBorder="1" applyAlignment="1">
      <alignment readingOrder="2"/>
    </xf>
    <xf numFmtId="0" fontId="35" fillId="3" borderId="0" xfId="0" applyFont="1" applyFill="1"/>
    <xf numFmtId="0" fontId="45" fillId="3" borderId="0" xfId="0" applyFont="1" applyFill="1" applyAlignment="1">
      <alignment horizontal="center" vertical="center" wrapText="1"/>
    </xf>
    <xf numFmtId="0" fontId="36" fillId="5" borderId="0" xfId="0" applyFont="1" applyFill="1"/>
    <xf numFmtId="0" fontId="46" fillId="3" borderId="0" xfId="0" applyFont="1" applyFill="1"/>
    <xf numFmtId="0" fontId="47" fillId="3" borderId="0" xfId="0" applyFont="1" applyFill="1" applyAlignment="1">
      <alignment horizontal="center" vertical="center" wrapText="1"/>
    </xf>
    <xf numFmtId="0" fontId="48" fillId="3" borderId="0" xfId="0" applyFont="1" applyFill="1" applyAlignment="1">
      <alignment horizontal="center" vertical="center" wrapText="1"/>
    </xf>
    <xf numFmtId="0" fontId="46" fillId="3" borderId="0" xfId="0" applyFont="1" applyFill="1" applyAlignment="1">
      <alignment horizontal="right"/>
    </xf>
    <xf numFmtId="0" fontId="46" fillId="3" borderId="0" xfId="0" applyFont="1" applyFill="1" applyAlignment="1">
      <alignment horizontal="left"/>
    </xf>
    <xf numFmtId="0" fontId="46" fillId="3" borderId="0" xfId="0" applyFont="1" applyFill="1" applyAlignment="1">
      <alignment horizontal="center" vertical="center"/>
    </xf>
    <xf numFmtId="0" fontId="49" fillId="3" borderId="0" xfId="0" applyFont="1" applyFill="1" applyAlignment="1">
      <alignment horizontal="center"/>
    </xf>
    <xf numFmtId="0" fontId="36" fillId="5" borderId="0" xfId="0" applyFont="1" applyFill="1" applyAlignment="1">
      <alignment horizontal="center"/>
    </xf>
    <xf numFmtId="0" fontId="12" fillId="3" borderId="0" xfId="6" applyFont="1" applyFill="1" applyAlignment="1">
      <alignment horizontal="center" vertical="center" wrapText="1"/>
    </xf>
    <xf numFmtId="0" fontId="21" fillId="0" borderId="0" xfId="0" applyFont="1" applyAlignment="1">
      <alignment horizontal="center"/>
    </xf>
    <xf numFmtId="0" fontId="28" fillId="3" borderId="0" xfId="0" applyFont="1" applyFill="1" applyAlignment="1">
      <alignment horizontal="center"/>
    </xf>
    <xf numFmtId="0" fontId="27" fillId="0" borderId="0" xfId="0" applyFont="1" applyAlignment="1">
      <alignment horizontal="center"/>
    </xf>
    <xf numFmtId="0" fontId="29" fillId="0" borderId="0" xfId="0" applyFont="1" applyAlignment="1">
      <alignment horizontal="center"/>
    </xf>
    <xf numFmtId="0" fontId="0" fillId="0" borderId="0" xfId="0" applyAlignment="1">
      <alignment horizontal="center"/>
    </xf>
    <xf numFmtId="0" fontId="4" fillId="9" borderId="0" xfId="6" applyFill="1" applyAlignment="1">
      <alignment horizontal="center"/>
    </xf>
    <xf numFmtId="0" fontId="12" fillId="3" borderId="0" xfId="6" applyFont="1" applyFill="1" applyAlignment="1">
      <alignment horizontal="right"/>
    </xf>
    <xf numFmtId="0" fontId="0" fillId="3" borderId="0" xfId="0" applyFill="1" applyAlignment="1">
      <alignment horizontal="center"/>
    </xf>
    <xf numFmtId="173" fontId="0" fillId="0" borderId="0" xfId="0" applyNumberFormat="1"/>
  </cellXfs>
  <cellStyles count="14">
    <cellStyle name="Comma" xfId="1" builtinId="3"/>
    <cellStyle name="Comma 2" xfId="5" xr:uid="{510276CC-C565-4AAA-A071-23017F6303B8}"/>
    <cellStyle name="Comma 3" xfId="8" xr:uid="{4510DB39-8928-44D3-8488-C4BF9CD9C5E7}"/>
    <cellStyle name="Comma 4" xfId="11" xr:uid="{85B88E9B-6016-446E-854B-F0E6A759A8C7}"/>
    <cellStyle name="Currency 2" xfId="7" xr:uid="{55538CF8-FDA2-4265-8A6D-904B11DC4A99}"/>
    <cellStyle name="Normal" xfId="0" builtinId="0"/>
    <cellStyle name="Normal 2" xfId="3" xr:uid="{B3BA0CE1-D784-451F-96BC-34350858BE2E}"/>
    <cellStyle name="Normal 3" xfId="6" xr:uid="{8269ADE0-8E0D-41E9-9B54-2CBD16116A01}"/>
    <cellStyle name="Normal 3 2" xfId="10" xr:uid="{CC3583E6-C52A-4EFD-B6D6-F7D78561951D}"/>
    <cellStyle name="Normal_מיון ושכיחויות" xfId="13" xr:uid="{D7FC65A7-29BB-40F1-8E0C-7DFF06E99EC0}"/>
    <cellStyle name="Percent" xfId="2" builtinId="5"/>
    <cellStyle name="Percent 2" xfId="4" xr:uid="{1760514E-F813-43D9-B6F3-ABD9D6B5234B}"/>
    <cellStyle name="Percent 3" xfId="9" xr:uid="{03B22171-C080-4063-825B-578A25F22D5D}"/>
    <cellStyle name="Percent 4" xfId="12" xr:uid="{DB0076A6-4019-4C2F-BA9E-FF65395E56B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1" Type="http://schemas.openxmlformats.org/officeDocument/2006/relationships/customXml" Target="../ink/ink1.xml"/><Relationship Id="rId6" Type="http://schemas.openxmlformats.org/officeDocument/2006/relationships/customXml" Target="../ink/ink3.xml"/><Relationship Id="rId5" Type="http://schemas.openxmlformats.org/officeDocument/2006/relationships/image" Target="../media/image3.png"/><Relationship Id="rId4" Type="http://schemas.openxmlformats.org/officeDocument/2006/relationships/customXml" Target="../ink/ink2.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594360</xdr:colOff>
      <xdr:row>1</xdr:row>
      <xdr:rowOff>0</xdr:rowOff>
    </xdr:from>
    <xdr:to>
      <xdr:col>26</xdr:col>
      <xdr:colOff>434340</xdr:colOff>
      <xdr:row>176</xdr:row>
      <xdr:rowOff>152400</xdr:rowOff>
    </xdr:to>
    <xdr:sp macro="" textlink="">
      <xdr:nvSpPr>
        <xdr:cNvPr id="2" name="תיבת טקסט 1">
          <a:extLst>
            <a:ext uri="{FF2B5EF4-FFF2-40B4-BE49-F238E27FC236}">
              <a16:creationId xmlns:a16="http://schemas.microsoft.com/office/drawing/2014/main" id="{A84133E7-10D6-3DE4-D6AB-6FADE29CD19B}"/>
            </a:ext>
          </a:extLst>
        </xdr:cNvPr>
        <xdr:cNvSpPr txBox="1"/>
      </xdr:nvSpPr>
      <xdr:spPr>
        <a:xfrm>
          <a:off x="10968586140" y="175260"/>
          <a:ext cx="17274540" cy="3082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600">
              <a:solidFill>
                <a:schemeClr val="dk1"/>
              </a:solidFill>
              <a:effectLst/>
              <a:latin typeface="+mn-lt"/>
              <a:ea typeface="+mn-ea"/>
              <a:cs typeface="+mn-cs"/>
            </a:rPr>
            <a:t>נעים להכיר- שמי רועי עידן.</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נשוי למורן + 2 ילדים.  </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 </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בוגר תואר ראשון בהצטיינות בכלכלה וניהול </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ותואר שני במנהל עסקים מטעם המכללה למנהל.</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 </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מורה פרטי מראשל"צ, מעביר שיעורים</a:t>
          </a:r>
          <a:r>
            <a:rPr lang="he-IL" sz="1600" baseline="0">
              <a:solidFill>
                <a:schemeClr val="dk1"/>
              </a:solidFill>
              <a:effectLst/>
              <a:latin typeface="+mn-lt"/>
              <a:ea typeface="+mn-ea"/>
              <a:cs typeface="+mn-cs"/>
            </a:rPr>
            <a:t> פרטיים </a:t>
          </a:r>
          <a:r>
            <a:rPr lang="he-IL" sz="1600">
              <a:solidFill>
                <a:schemeClr val="dk1"/>
              </a:solidFill>
              <a:effectLst/>
              <a:latin typeface="+mn-lt"/>
              <a:ea typeface="+mn-ea"/>
              <a:cs typeface="+mn-cs"/>
            </a:rPr>
            <a:t>ליחידים וקבוצות- כ 14 שנים- </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מומחה למבחני מנהל עסקים המכללה למנהל.</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 </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למעלה מ 12 שנים אני מעביר תגבורים לסטודנטים מטעם אגודת הסטודנטים. </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בקורסים:</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סטטיסטיקה, כלכלה, מתמטיקה, אקסל,</a:t>
          </a:r>
          <a:r>
            <a:rPr lang="he-IL" sz="1600" baseline="0">
              <a:solidFill>
                <a:schemeClr val="dk1"/>
              </a:solidFill>
              <a:effectLst/>
              <a:latin typeface="+mn-lt"/>
              <a:ea typeface="+mn-ea"/>
              <a:cs typeface="+mn-cs"/>
            </a:rPr>
            <a:t> </a:t>
          </a:r>
          <a:r>
            <a:rPr lang="he-IL" sz="1600">
              <a:solidFill>
                <a:schemeClr val="dk1"/>
              </a:solidFill>
              <a:effectLst/>
              <a:latin typeface="+mn-lt"/>
              <a:ea typeface="+mn-ea"/>
              <a:cs typeface="+mn-cs"/>
            </a:rPr>
            <a:t>מימון, </a:t>
          </a:r>
          <a:r>
            <a:rPr lang="en-US" sz="1600">
              <a:solidFill>
                <a:schemeClr val="dk1"/>
              </a:solidFill>
              <a:effectLst/>
              <a:latin typeface="+mn-lt"/>
              <a:ea typeface="+mn-ea"/>
              <a:cs typeface="+mn-cs"/>
            </a:rPr>
            <a:t>SQL</a:t>
          </a:r>
          <a:r>
            <a:rPr lang="he-IL" sz="1600">
              <a:solidFill>
                <a:schemeClr val="dk1"/>
              </a:solidFill>
              <a:effectLst/>
              <a:latin typeface="+mn-lt"/>
              <a:ea typeface="+mn-ea"/>
              <a:cs typeface="+mn-cs"/>
            </a:rPr>
            <a:t>, חשבונאות.</a:t>
          </a:r>
        </a:p>
        <a:p>
          <a:pPr rtl="1"/>
          <a:r>
            <a:rPr lang="he-IL" sz="1600" b="1">
              <a:solidFill>
                <a:srgbClr val="00B0F0"/>
              </a:solidFill>
              <a:effectLst/>
              <a:latin typeface="+mn-lt"/>
              <a:ea typeface="+mn-ea"/>
              <a:cs typeface="+mn-cs"/>
            </a:rPr>
            <a:t>בקרוב נתראה</a:t>
          </a:r>
          <a:r>
            <a:rPr lang="he-IL" sz="1600" b="1" baseline="0">
              <a:solidFill>
                <a:srgbClr val="00B0F0"/>
              </a:solidFill>
              <a:effectLst/>
              <a:latin typeface="+mn-lt"/>
              <a:ea typeface="+mn-ea"/>
              <a:cs typeface="+mn-cs"/>
            </a:rPr>
            <a:t> עוד פעמיים בתגבורי סטטיסטיקה ומתמטיקה.</a:t>
          </a:r>
          <a:r>
            <a:rPr lang="en-US" sz="1600" b="1" baseline="0">
              <a:solidFill>
                <a:srgbClr val="00B0F0"/>
              </a:solidFill>
              <a:effectLst/>
              <a:latin typeface="+mn-lt"/>
              <a:ea typeface="+mn-ea"/>
              <a:cs typeface="+mn-cs"/>
            </a:rPr>
            <a:t>  </a:t>
          </a:r>
          <a:r>
            <a:rPr lang="he-IL" sz="1600" b="1" baseline="0">
              <a:solidFill>
                <a:srgbClr val="00B0F0"/>
              </a:solidFill>
              <a:effectLst/>
              <a:latin typeface="+mn-lt"/>
              <a:ea typeface="+mn-ea"/>
              <a:cs typeface="+mn-cs"/>
            </a:rPr>
            <a:t> </a:t>
          </a:r>
        </a:p>
        <a:p>
          <a:pPr rtl="1"/>
          <a:r>
            <a:rPr lang="he-IL" sz="1600" b="1" baseline="0">
              <a:solidFill>
                <a:srgbClr val="00B0F0"/>
              </a:solidFill>
              <a:effectLst/>
              <a:latin typeface="+mn-lt"/>
              <a:ea typeface="+mn-ea"/>
              <a:cs typeface="+mn-cs"/>
            </a:rPr>
            <a:t>מוזמנים להצטרף לתגבורים שלי הסמסטר במנע"ס- חלקם טרם התקיימו. </a:t>
          </a:r>
          <a:endParaRPr lang="he-IL" sz="1600" b="1">
            <a:solidFill>
              <a:srgbClr val="00B0F0"/>
            </a:solidFill>
            <a:effectLst/>
            <a:latin typeface="+mn-lt"/>
            <a:ea typeface="+mn-ea"/>
            <a:cs typeface="+mn-cs"/>
          </a:endParaRPr>
        </a:p>
        <a:p>
          <a:pPr rtl="1"/>
          <a:r>
            <a:rPr lang="he-IL" sz="1600">
              <a:solidFill>
                <a:schemeClr val="dk1"/>
              </a:solidFill>
              <a:effectLst/>
              <a:latin typeface="+mn-lt"/>
              <a:ea typeface="+mn-ea"/>
              <a:cs typeface="+mn-cs"/>
            </a:rPr>
            <a:t> </a:t>
          </a:r>
          <a:r>
            <a:rPr lang="en-US" sz="1600">
              <a:solidFill>
                <a:schemeClr val="dk1"/>
              </a:solidFill>
              <a:effectLst/>
              <a:latin typeface="+mn-lt"/>
              <a:ea typeface="+mn-ea"/>
              <a:cs typeface="+mn-cs"/>
            </a:rPr>
            <a:t> </a:t>
          </a:r>
        </a:p>
        <a:p>
          <a:pPr rtl="1"/>
          <a:r>
            <a:rPr lang="he-IL" sz="1600">
              <a:solidFill>
                <a:schemeClr val="dk1"/>
              </a:solidFill>
              <a:effectLst/>
              <a:latin typeface="+mn-lt"/>
              <a:ea typeface="+mn-ea"/>
              <a:cs typeface="+mn-cs"/>
            </a:rPr>
            <a:t>אני מפעיל אתר סרטונים (קורסים מוקלטים</a:t>
          </a:r>
          <a:r>
            <a:rPr lang="he-IL" sz="1600" baseline="0">
              <a:solidFill>
                <a:schemeClr val="dk1"/>
              </a:solidFill>
              <a:effectLst/>
              <a:latin typeface="+mn-lt"/>
              <a:ea typeface="+mn-ea"/>
              <a:cs typeface="+mn-cs"/>
            </a:rPr>
            <a:t> להכנה למבחן</a:t>
          </a:r>
          <a:r>
            <a:rPr lang="he-IL" sz="1600">
              <a:solidFill>
                <a:schemeClr val="dk1"/>
              </a:solidFill>
              <a:effectLst/>
              <a:latin typeface="+mn-lt"/>
              <a:ea typeface="+mn-ea"/>
              <a:cs typeface="+mn-cs"/>
            </a:rPr>
            <a:t>) שייעודו להכין למבחן תוך כ 7 שעות בלבד.</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הקורסים</a:t>
          </a:r>
          <a:r>
            <a:rPr lang="he-IL" sz="1600" baseline="0">
              <a:solidFill>
                <a:schemeClr val="dk1"/>
              </a:solidFill>
              <a:effectLst/>
              <a:latin typeface="+mn-lt"/>
              <a:ea typeface="+mn-ea"/>
              <a:cs typeface="+mn-cs"/>
            </a:rPr>
            <a:t> המקוונים מלמדים את הכל מאפס ונוצרו במיוחד ל</a:t>
          </a:r>
          <a:r>
            <a:rPr lang="he-IL" sz="1600">
              <a:solidFill>
                <a:schemeClr val="dk1"/>
              </a:solidFill>
              <a:effectLst/>
              <a:latin typeface="+mn-lt"/>
              <a:ea typeface="+mn-ea"/>
              <a:cs typeface="+mn-cs"/>
            </a:rPr>
            <a:t>סטודנטים למנהל עסקים למבחני המכללה למנהל.</a:t>
          </a:r>
        </a:p>
        <a:p>
          <a:pPr rtl="1"/>
          <a:r>
            <a:rPr lang="he-IL" sz="1600">
              <a:solidFill>
                <a:schemeClr val="dk1"/>
              </a:solidFill>
              <a:effectLst/>
              <a:latin typeface="+mn-lt"/>
              <a:ea typeface="+mn-ea"/>
              <a:cs typeface="+mn-cs"/>
            </a:rPr>
            <a:t>עלות</a:t>
          </a:r>
          <a:r>
            <a:rPr lang="he-IL" sz="1600" baseline="0">
              <a:solidFill>
                <a:schemeClr val="dk1"/>
              </a:solidFill>
              <a:effectLst/>
              <a:latin typeface="+mn-lt"/>
              <a:ea typeface="+mn-ea"/>
              <a:cs typeface="+mn-cs"/>
            </a:rPr>
            <a:t> קורס 1 כ 280 שח בלבד (פחות מעלות של שני שיעורים פרטיים). </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 </a:t>
          </a:r>
          <a:endParaRPr lang="en-US" sz="1600">
            <a:solidFill>
              <a:schemeClr val="dk1"/>
            </a:solidFill>
            <a:effectLst/>
            <a:latin typeface="+mn-lt"/>
            <a:ea typeface="+mn-ea"/>
            <a:cs typeface="+mn-cs"/>
          </a:endParaRPr>
        </a:p>
        <a:p>
          <a:pPr rtl="1"/>
          <a:r>
            <a:rPr lang="he-IL" sz="1600">
              <a:solidFill>
                <a:schemeClr val="dk1"/>
              </a:solidFill>
              <a:effectLst/>
              <a:latin typeface="+mn-lt"/>
              <a:ea typeface="+mn-ea"/>
              <a:cs typeface="+mn-cs"/>
            </a:rPr>
            <a:t> </a:t>
          </a:r>
          <a:endParaRPr lang="en-US" sz="1600">
            <a:solidFill>
              <a:schemeClr val="dk1"/>
            </a:solidFill>
            <a:effectLst/>
            <a:latin typeface="+mn-lt"/>
            <a:ea typeface="+mn-ea"/>
            <a:cs typeface="+mn-cs"/>
          </a:endParaRPr>
        </a:p>
        <a:p>
          <a:pPr rtl="1"/>
          <a:r>
            <a:rPr lang="he-IL" sz="2800" b="1" u="sng">
              <a:solidFill>
                <a:srgbClr val="00B0F0"/>
              </a:solidFill>
              <a:effectLst/>
              <a:latin typeface="+mn-lt"/>
              <a:ea typeface="+mn-ea"/>
              <a:cs typeface="+mn-cs"/>
            </a:rPr>
            <a:t>פרקים פתוחים חינם בכל קורסי הסמסטר ששווים עשרות נקודות בטוחות במבחנים:</a:t>
          </a:r>
        </a:p>
        <a:p>
          <a:pPr rtl="1"/>
          <a:endParaRPr lang="he-IL" sz="1600">
            <a:solidFill>
              <a:schemeClr val="dk1"/>
            </a:solidFill>
            <a:effectLst/>
            <a:latin typeface="+mn-lt"/>
            <a:ea typeface="+mn-ea"/>
            <a:cs typeface="+mn-cs"/>
          </a:endParaRPr>
        </a:p>
        <a:p>
          <a:pPr rtl="1"/>
          <a:r>
            <a:rPr lang="he-IL" sz="1600">
              <a:solidFill>
                <a:schemeClr val="dk1"/>
              </a:solidFill>
              <a:effectLst/>
              <a:latin typeface="+mn-lt"/>
              <a:ea typeface="+mn-ea"/>
              <a:cs typeface="+mn-cs"/>
            </a:rPr>
            <a:t>🏆  100% חינם: מסתבכים עם הסתברות? ריבוע הקסם, הסתברות מותנית, זרים ובלתי תלויים:  ממש ה-כ-ל מוסבר מאפס בשיעור 100% חינמי שייעשה לכם סדר מופתי כולל שאלת תרגול ממבחן עדכני:   </a:t>
          </a:r>
        </a:p>
        <a:p>
          <a:pPr rtl="1"/>
          <a:r>
            <a:rPr lang="af-ZA" sz="1600">
              <a:solidFill>
                <a:schemeClr val="dk1"/>
              </a:solidFill>
              <a:effectLst/>
              <a:latin typeface="+mn-lt"/>
              <a:ea typeface="+mn-ea"/>
              <a:cs typeface="+mn-cs"/>
            </a:rPr>
            <a:t>https://roy-idan.co.il/courses/%d7%a1%d7%98%d7%98%d7%99%d7%a1%d7%98%d7%99%d7%a7%d7%94-1-%d7%9b%d7%9c%d7%99%d7%9d-%d7%95%d7%a4%d7%a8%d7%a7%d7%98%d7%99%d7%a7%d7%94-2/</a:t>
          </a:r>
          <a:endParaRPr lang="he-IL" sz="1600">
            <a:solidFill>
              <a:schemeClr val="dk1"/>
            </a:solidFill>
            <a:effectLst/>
            <a:latin typeface="+mn-lt"/>
            <a:ea typeface="+mn-ea"/>
            <a:cs typeface="+mn-cs"/>
          </a:endParaRPr>
        </a:p>
        <a:p>
          <a:pPr rtl="1"/>
          <a:endParaRPr lang="he-IL" sz="1600">
            <a:solidFill>
              <a:schemeClr val="dk1"/>
            </a:solidFill>
            <a:effectLst/>
            <a:latin typeface="+mn-lt"/>
            <a:ea typeface="+mn-ea"/>
            <a:cs typeface="+mn-cs"/>
          </a:endParaRPr>
        </a:p>
        <a:p>
          <a:pPr rtl="1"/>
          <a:r>
            <a:rPr lang="he-IL" sz="1600">
              <a:solidFill>
                <a:schemeClr val="dk1"/>
              </a:solidFill>
              <a:effectLst/>
              <a:latin typeface="+mn-lt"/>
              <a:ea typeface="+mn-ea"/>
              <a:cs typeface="+mn-cs"/>
            </a:rPr>
            <a:t>הטבה נוספת: הלינק כולל גם הקלטה של התגבור ה-פ-נו-מ-נ-לי בסטטיסטיקה תיאורית (יישור קו עם הכיתה) שהתקיים באמצע</a:t>
          </a:r>
          <a:r>
            <a:rPr lang="he-IL" sz="1600" baseline="0">
              <a:solidFill>
                <a:schemeClr val="dk1"/>
              </a:solidFill>
              <a:effectLst/>
              <a:latin typeface="+mn-lt"/>
              <a:ea typeface="+mn-ea"/>
              <a:cs typeface="+mn-cs"/>
            </a:rPr>
            <a:t> הסמסטר</a:t>
          </a:r>
        </a:p>
        <a:p>
          <a:pPr rtl="1"/>
          <a:endParaRPr lang="he-IL" sz="1600" baseline="0">
            <a:solidFill>
              <a:schemeClr val="dk1"/>
            </a:solidFill>
            <a:effectLst/>
            <a:latin typeface="+mn-lt"/>
            <a:ea typeface="+mn-ea"/>
            <a:cs typeface="+mn-cs"/>
          </a:endParaRPr>
        </a:p>
        <a:p>
          <a:pPr rtl="1"/>
          <a:r>
            <a:rPr lang="he-IL" sz="1600">
              <a:solidFill>
                <a:schemeClr val="dk1"/>
              </a:solidFill>
              <a:effectLst/>
              <a:latin typeface="+mn-lt"/>
              <a:ea typeface="+mn-ea"/>
              <a:cs typeface="+mn-cs"/>
            </a:rPr>
            <a:t>🥇 100% חינם: ההקלטה המדוברת של הסמסטר בכלים מתמטיים: תגבור "יישור קו במתמטיקה": שווה לכם כ 70 נקודות בטוחות במבחן הקרוב  </a:t>
          </a:r>
        </a:p>
        <a:p>
          <a:pPr rtl="1"/>
          <a:r>
            <a:rPr lang="af-ZA" sz="1600">
              <a:solidFill>
                <a:schemeClr val="dk1"/>
              </a:solidFill>
              <a:effectLst/>
              <a:latin typeface="+mn-lt"/>
              <a:ea typeface="+mn-ea"/>
              <a:cs typeface="+mn-cs"/>
            </a:rPr>
            <a:t>https://roy-idan.co.il/courses/%d7%9b%d7%9c%d7%99%d7%9d-%d7%9e%d7%aa%d7%9e%d7%98%d7%99%d7%99%d7%9d-%d7%91%d7%a0%d7%99%d7%94%d7%95%d7%9c-2/</a:t>
          </a:r>
          <a:endParaRPr lang="he-IL" sz="1600">
            <a:solidFill>
              <a:schemeClr val="dk1"/>
            </a:solidFill>
            <a:effectLst/>
            <a:latin typeface="+mn-lt"/>
            <a:ea typeface="+mn-ea"/>
            <a:cs typeface="+mn-cs"/>
          </a:endParaRPr>
        </a:p>
        <a:p>
          <a:pPr rtl="1"/>
          <a:r>
            <a:rPr lang="he-IL" sz="1600">
              <a:solidFill>
                <a:schemeClr val="dk1"/>
              </a:solidFill>
              <a:effectLst/>
              <a:latin typeface="+mn-lt"/>
              <a:ea typeface="+mn-ea"/>
              <a:cs typeface="+mn-cs"/>
            </a:rPr>
            <a:t>כולל מבחן לדוגמא להורדה בפורמט החדש של 2024, וגם את רשימת הנושאים המעודכנת למבחן.</a:t>
          </a:r>
        </a:p>
        <a:p>
          <a:pPr rtl="1"/>
          <a:endParaRPr lang="he-IL" sz="1600">
            <a:solidFill>
              <a:schemeClr val="dk1"/>
            </a:solidFill>
            <a:effectLst/>
            <a:latin typeface="+mn-lt"/>
            <a:ea typeface="+mn-ea"/>
            <a:cs typeface="+mn-cs"/>
          </a:endParaRPr>
        </a:p>
        <a:p>
          <a:pPr rtl="1"/>
          <a:r>
            <a:rPr lang="he-IL" sz="1600">
              <a:solidFill>
                <a:schemeClr val="dk1"/>
              </a:solidFill>
              <a:effectLst/>
              <a:latin typeface="+mn-lt"/>
              <a:ea typeface="+mn-ea"/>
              <a:cs typeface="+mn-cs"/>
            </a:rPr>
            <a:t>🏆 100% חינם: שיעור מוקלט שומט לסתות בכלכלה מיקרו (שווה לכם כ 25 נקודות בטוחות בכל מבחן): </a:t>
          </a:r>
        </a:p>
        <a:p>
          <a:pPr rtl="1"/>
          <a:r>
            <a:rPr lang="af-ZA" sz="1600">
              <a:solidFill>
                <a:schemeClr val="dk1"/>
              </a:solidFill>
              <a:effectLst/>
              <a:latin typeface="+mn-lt"/>
              <a:ea typeface="+mn-ea"/>
              <a:cs typeface="+mn-cs"/>
            </a:rPr>
            <a:t>https://shorturl.at/isMUV</a:t>
          </a:r>
          <a:endParaRPr lang="he-IL" sz="1600">
            <a:solidFill>
              <a:schemeClr val="dk1"/>
            </a:solidFill>
            <a:effectLst/>
            <a:latin typeface="+mn-lt"/>
            <a:ea typeface="+mn-ea"/>
            <a:cs typeface="+mn-cs"/>
          </a:endParaRPr>
        </a:p>
        <a:p>
          <a:pPr rtl="1"/>
          <a:endParaRPr lang="he-IL" sz="1600">
            <a:solidFill>
              <a:schemeClr val="dk1"/>
            </a:solidFill>
            <a:effectLst/>
            <a:latin typeface="+mn-lt"/>
            <a:ea typeface="+mn-ea"/>
            <a:cs typeface="+mn-cs"/>
          </a:endParaRPr>
        </a:p>
        <a:p>
          <a:pPr rtl="1"/>
          <a:r>
            <a:rPr lang="he-IL" sz="1600">
              <a:solidFill>
                <a:schemeClr val="dk1"/>
              </a:solidFill>
              <a:effectLst/>
              <a:latin typeface="+mn-lt"/>
              <a:ea typeface="+mn-ea"/>
              <a:cs typeface="+mn-cs"/>
            </a:rPr>
            <a:t>🧨 למעבר לקורס</a:t>
          </a:r>
          <a:r>
            <a:rPr lang="he-IL" sz="1600" baseline="0">
              <a:solidFill>
                <a:schemeClr val="dk1"/>
              </a:solidFill>
              <a:effectLst/>
              <a:latin typeface="+mn-lt"/>
              <a:ea typeface="+mn-ea"/>
              <a:cs typeface="+mn-cs"/>
            </a:rPr>
            <a:t> המקוון באקסל ולאיזור אליו תעלה ההקלטה של היום:</a:t>
          </a:r>
          <a:r>
            <a:rPr lang="he-IL" sz="1600">
              <a:solidFill>
                <a:schemeClr val="dk1"/>
              </a:solidFill>
              <a:effectLst/>
              <a:latin typeface="+mn-lt"/>
              <a:ea typeface="+mn-ea"/>
              <a:cs typeface="+mn-cs"/>
            </a:rPr>
            <a:t> </a:t>
          </a:r>
        </a:p>
        <a:p>
          <a:pPr rtl="1"/>
          <a:r>
            <a:rPr lang="af-ZA" sz="1600">
              <a:solidFill>
                <a:schemeClr val="dk1"/>
              </a:solidFill>
              <a:effectLst/>
              <a:latin typeface="+mn-lt"/>
              <a:ea typeface="+mn-ea"/>
              <a:cs typeface="+mn-cs"/>
            </a:rPr>
            <a:t>https://roy-idan.co.il/courses/%d7%99%d7%99%d7%a9%d7%95%d7%9e%d7%99-%d7%9e%d7%97%d7%a9%d7%91-%d7%91%d7%a0%d7%99%d7%94%d7%95%d7%9c-excel/</a:t>
          </a:r>
          <a:endParaRPr lang="he-IL" sz="1600">
            <a:solidFill>
              <a:schemeClr val="dk1"/>
            </a:solidFill>
            <a:effectLst/>
            <a:latin typeface="+mn-lt"/>
            <a:ea typeface="+mn-ea"/>
            <a:cs typeface="+mn-cs"/>
          </a:endParaRPr>
        </a:p>
        <a:p>
          <a:pPr rtl="1"/>
          <a:endParaRPr lang="he-IL" sz="1600">
            <a:solidFill>
              <a:schemeClr val="dk1"/>
            </a:solidFill>
            <a:effectLst/>
            <a:latin typeface="+mn-lt"/>
            <a:ea typeface="+mn-ea"/>
            <a:cs typeface="+mn-cs"/>
          </a:endParaRPr>
        </a:p>
        <a:p>
          <a:pPr rtl="1"/>
          <a:endParaRPr lang="he-IL" sz="1600">
            <a:solidFill>
              <a:schemeClr val="dk1"/>
            </a:solidFill>
            <a:effectLst/>
            <a:latin typeface="+mn-lt"/>
            <a:ea typeface="+mn-ea"/>
            <a:cs typeface="+mn-cs"/>
          </a:endParaRPr>
        </a:p>
        <a:p>
          <a:pPr rtl="1"/>
          <a:r>
            <a:rPr lang="he-IL" sz="1600">
              <a:solidFill>
                <a:schemeClr val="dk1"/>
              </a:solidFill>
              <a:effectLst/>
              <a:latin typeface="+mn-lt"/>
              <a:ea typeface="+mn-ea"/>
              <a:cs typeface="+mn-cs"/>
            </a:rPr>
            <a:t>למבחנים לא ניגשים לבד (קורסים מקוונים ושיעורים פרטיים)</a:t>
          </a:r>
        </a:p>
        <a:p>
          <a:pPr rtl="1"/>
          <a:r>
            <a:rPr lang="he-IL" sz="1600">
              <a:solidFill>
                <a:schemeClr val="dk1"/>
              </a:solidFill>
              <a:effectLst/>
              <a:latin typeface="+mn-lt"/>
              <a:ea typeface="+mn-ea"/>
              <a:cs typeface="+mn-cs"/>
            </a:rPr>
            <a:t>לינק ישיר לווטסאפ של רועי </a:t>
          </a:r>
          <a:r>
            <a:rPr lang="af-ZA" sz="1600">
              <a:solidFill>
                <a:schemeClr val="dk1"/>
              </a:solidFill>
              <a:effectLst/>
              <a:latin typeface="+mn-lt"/>
              <a:ea typeface="+mn-ea"/>
              <a:cs typeface="+mn-cs"/>
            </a:rPr>
            <a:t>https://bit.ly/3E4mHLn</a:t>
          </a:r>
          <a:endParaRPr lang="he-IL" sz="1600">
            <a:solidFill>
              <a:schemeClr val="dk1"/>
            </a:solidFill>
            <a:effectLst/>
            <a:latin typeface="+mn-lt"/>
            <a:ea typeface="+mn-ea"/>
            <a:cs typeface="+mn-cs"/>
          </a:endParaRPr>
        </a:p>
        <a:p>
          <a:pPr rtl="1"/>
          <a:r>
            <a:rPr lang="he-IL" sz="1600">
              <a:solidFill>
                <a:schemeClr val="dk1"/>
              </a:solidFill>
              <a:effectLst/>
              <a:latin typeface="+mn-lt"/>
              <a:ea typeface="+mn-ea"/>
              <a:cs typeface="+mn-cs"/>
            </a:rPr>
            <a:t>רועי עידן 052-546-6016  </a:t>
          </a:r>
          <a:r>
            <a:rPr lang="af-ZA" sz="1600">
              <a:solidFill>
                <a:schemeClr val="dk1"/>
              </a:solidFill>
              <a:effectLst/>
              <a:latin typeface="+mn-lt"/>
              <a:ea typeface="+mn-ea"/>
              <a:cs typeface="+mn-cs"/>
            </a:rPr>
            <a:t>www.roy-idan.co.il </a:t>
          </a:r>
          <a:endParaRPr lang="he-IL" sz="1600">
            <a:solidFill>
              <a:schemeClr val="dk1"/>
            </a:solidFill>
            <a:effectLst/>
            <a:latin typeface="+mn-lt"/>
            <a:ea typeface="+mn-ea"/>
            <a:cs typeface="+mn-cs"/>
          </a:endParaRPr>
        </a:p>
        <a:p>
          <a:pPr rtl="1"/>
          <a:endParaRPr lang="he-IL" sz="1600">
            <a:solidFill>
              <a:schemeClr val="dk1"/>
            </a:solidFill>
            <a:effectLst/>
            <a:latin typeface="+mn-lt"/>
            <a:ea typeface="+mn-ea"/>
            <a:cs typeface="+mn-cs"/>
          </a:endParaRPr>
        </a:p>
        <a:p>
          <a:pPr rtl="1"/>
          <a:r>
            <a:rPr lang="he-IL" sz="4000" b="1" i="0" u="sng">
              <a:solidFill>
                <a:schemeClr val="dk1"/>
              </a:solidFill>
              <a:effectLst/>
              <a:latin typeface="+mn-lt"/>
              <a:ea typeface="+mn-ea"/>
              <a:cs typeface="+mn-cs"/>
            </a:rPr>
            <a:t>טיפים אחרונים לפני המבחן</a:t>
          </a:r>
          <a:r>
            <a:rPr lang="he-IL" sz="4000" b="1" i="0" u="sng" baseline="0">
              <a:solidFill>
                <a:schemeClr val="dk1"/>
              </a:solidFill>
              <a:effectLst/>
              <a:latin typeface="+mn-lt"/>
              <a:ea typeface="+mn-ea"/>
              <a:cs typeface="+mn-cs"/>
            </a:rPr>
            <a:t>: </a:t>
          </a:r>
        </a:p>
        <a:p>
          <a:pPr rtl="1"/>
          <a:r>
            <a:rPr lang="he-IL" sz="4000" b="0" i="0" u="none" baseline="0">
              <a:solidFill>
                <a:schemeClr val="dk1"/>
              </a:solidFill>
              <a:effectLst/>
              <a:latin typeface="+mn-lt"/>
              <a:ea typeface="+mn-ea"/>
              <a:cs typeface="+mn-cs"/>
            </a:rPr>
            <a:t>🏆 ביום הלמידה האחרון שלפני המבחן- כדאי לרענן ולפתור רק שאלות ממבחנים שכבר הצלחתם בימים האחרונים (עבור העלאת הביטחון) </a:t>
          </a:r>
        </a:p>
        <a:p>
          <a:pPr rtl="1"/>
          <a:r>
            <a:rPr lang="he-IL" sz="4000" b="0" i="0" u="none" baseline="0">
              <a:solidFill>
                <a:schemeClr val="dk1"/>
              </a:solidFill>
              <a:effectLst/>
              <a:latin typeface="+mn-lt"/>
              <a:ea typeface="+mn-ea"/>
              <a:cs typeface="+mn-cs"/>
            </a:rPr>
            <a:t>ולא לנסות שאלות חדשות (שעלולות להוריד ביטחון במקרה שלא הולך לנו).</a:t>
          </a:r>
        </a:p>
        <a:p>
          <a:pPr rtl="1"/>
          <a:r>
            <a:rPr lang="he-IL" sz="4000" b="0" i="0" u="none" baseline="0">
              <a:solidFill>
                <a:schemeClr val="dk1"/>
              </a:solidFill>
              <a:effectLst/>
              <a:latin typeface="+mn-lt"/>
              <a:ea typeface="+mn-ea"/>
              <a:cs typeface="+mn-cs"/>
            </a:rPr>
            <a:t> </a:t>
          </a:r>
        </a:p>
        <a:p>
          <a:pPr rtl="1"/>
          <a:r>
            <a:rPr lang="he-IL" sz="4000" b="0" i="0" u="none" baseline="0">
              <a:solidFill>
                <a:schemeClr val="dk1"/>
              </a:solidFill>
              <a:effectLst/>
              <a:latin typeface="+mn-lt"/>
              <a:ea typeface="+mn-ea"/>
              <a:cs typeface="+mn-cs"/>
            </a:rPr>
            <a:t>🏆 במבחן לא להיתקע ולא לבזבז זמן רב על סעיף שקשה לכם! גם אם אתם מרגישים שממש עוד רגע אתם מתגברים על הבעיה- זה עלול לעלות לכם בכך שלא תגיעו לשאלות שבסוף המבחן (שהן בד"כ קלות יותר מאשר השאלות הראשונות), </a:t>
          </a:r>
        </a:p>
        <a:p>
          <a:pPr rtl="1"/>
          <a:r>
            <a:rPr lang="he-IL" sz="4000" b="0" i="0" u="none" baseline="0">
              <a:solidFill>
                <a:schemeClr val="dk1"/>
              </a:solidFill>
              <a:effectLst/>
              <a:latin typeface="+mn-lt"/>
              <a:ea typeface="+mn-ea"/>
              <a:cs typeface="+mn-cs"/>
            </a:rPr>
            <a:t>וזאת תהיה החמצה גדולה.</a:t>
          </a:r>
        </a:p>
        <a:p>
          <a:pPr rtl="1"/>
          <a:endParaRPr lang="he-IL" sz="4000" b="0" i="0" u="none" baseline="0">
            <a:solidFill>
              <a:schemeClr val="dk1"/>
            </a:solidFill>
            <a:effectLst/>
            <a:latin typeface="+mn-lt"/>
            <a:ea typeface="+mn-ea"/>
            <a:cs typeface="+mn-cs"/>
          </a:endParaRPr>
        </a:p>
        <a:p>
          <a:pPr rtl="1"/>
          <a:r>
            <a:rPr lang="he-IL" sz="4000" b="0" i="0" u="none" baseline="0">
              <a:solidFill>
                <a:schemeClr val="dk1"/>
              </a:solidFill>
              <a:effectLst/>
              <a:latin typeface="+mn-lt"/>
              <a:ea typeface="+mn-ea"/>
              <a:cs typeface="+mn-cs"/>
            </a:rPr>
            <a:t>🏆 לא משאירים סעיפים ריקים!  גם אם אתם לא יודעים מאיפה להתחיל סעיף מסוים, תמציאו מספרים (אפילו לעמודה שלמה) ואז אם תצליחו את הסעיף הבא </a:t>
          </a:r>
        </a:p>
        <a:p>
          <a:pPr rtl="1"/>
          <a:r>
            <a:rPr lang="he-IL" sz="4000" b="0" i="0" u="none" baseline="0">
              <a:solidFill>
                <a:schemeClr val="dk1"/>
              </a:solidFill>
              <a:effectLst/>
              <a:latin typeface="+mn-lt"/>
              <a:ea typeface="+mn-ea"/>
              <a:cs typeface="+mn-cs"/>
            </a:rPr>
            <a:t>(שנשען על מה שהמצאתם): תקבלו ממש את כל הניקוד עבור הסעיף הבא. </a:t>
          </a:r>
        </a:p>
        <a:p>
          <a:pPr rtl="1"/>
          <a:endParaRPr lang="he-IL" sz="4000" b="0" i="0" u="none" baseline="0">
            <a:solidFill>
              <a:schemeClr val="dk1"/>
            </a:solidFill>
            <a:effectLst/>
            <a:latin typeface="+mn-lt"/>
            <a:ea typeface="+mn-ea"/>
            <a:cs typeface="+mn-cs"/>
          </a:endParaRPr>
        </a:p>
        <a:p>
          <a:pPr rtl="1"/>
          <a:r>
            <a:rPr lang="he-IL" sz="4000" b="0" i="0" u="none" baseline="0">
              <a:solidFill>
                <a:schemeClr val="dk1"/>
              </a:solidFill>
              <a:effectLst/>
              <a:latin typeface="+mn-lt"/>
              <a:ea typeface="+mn-ea"/>
              <a:cs typeface="+mn-cs"/>
            </a:rPr>
            <a:t>🏆 גם אם מה שכתבתם לא מוביל לתוצאה בכלל, למשל שגיאה בשאלת</a:t>
          </a:r>
          <a:r>
            <a:rPr lang="af-ZA" sz="4000" b="0" i="0" u="none" baseline="0">
              <a:solidFill>
                <a:schemeClr val="dk1"/>
              </a:solidFill>
              <a:effectLst/>
              <a:latin typeface="+mn-lt"/>
              <a:ea typeface="+mn-ea"/>
              <a:cs typeface="+mn-cs"/>
            </a:rPr>
            <a:t>IF </a:t>
          </a:r>
          <a:r>
            <a:rPr lang="he-IL" sz="4000" b="0" i="0" u="none" baseline="0">
              <a:solidFill>
                <a:schemeClr val="dk1"/>
              </a:solidFill>
              <a:effectLst/>
              <a:latin typeface="+mn-lt"/>
              <a:ea typeface="+mn-ea"/>
              <a:cs typeface="+mn-cs"/>
            </a:rPr>
            <a:t> בתוך </a:t>
          </a:r>
          <a:r>
            <a:rPr lang="af-ZA" sz="4000" b="0" i="0" u="none" baseline="0">
              <a:solidFill>
                <a:schemeClr val="dk1"/>
              </a:solidFill>
              <a:effectLst/>
              <a:latin typeface="+mn-lt"/>
              <a:ea typeface="+mn-ea"/>
              <a:cs typeface="+mn-cs"/>
            </a:rPr>
            <a:t>IF</a:t>
          </a:r>
          <a:r>
            <a:rPr lang="he-IL" sz="4000" b="0" i="0" u="none" baseline="0">
              <a:solidFill>
                <a:schemeClr val="dk1"/>
              </a:solidFill>
              <a:effectLst/>
              <a:latin typeface="+mn-lt"/>
              <a:ea typeface="+mn-ea"/>
              <a:cs typeface="+mn-cs"/>
            </a:rPr>
            <a:t> תשאירו את כל מה שכתבתם! לא למחוק כלום! בודק המבחן יוריד ניקוד רק על הטעות הקטנה שתקעה הכל-  כך שאת רוב הניקוד תקבלו !!!</a:t>
          </a:r>
        </a:p>
        <a:p>
          <a:pPr rtl="1"/>
          <a:endParaRPr lang="he-IL" sz="4000" b="0" i="0" u="none" baseline="0">
            <a:solidFill>
              <a:schemeClr val="dk1"/>
            </a:solidFill>
            <a:effectLst/>
            <a:latin typeface="+mn-lt"/>
            <a:ea typeface="+mn-ea"/>
            <a:cs typeface="+mn-cs"/>
          </a:endParaRPr>
        </a:p>
        <a:p>
          <a:pPr rtl="1"/>
          <a:r>
            <a:rPr lang="he-IL" sz="4000" b="0" i="0" u="none" baseline="0">
              <a:solidFill>
                <a:schemeClr val="dk1"/>
              </a:solidFill>
              <a:effectLst/>
              <a:latin typeface="+mn-lt"/>
              <a:ea typeface="+mn-ea"/>
              <a:cs typeface="+mn-cs"/>
            </a:rPr>
            <a:t>🏆 לא לבזבז יותר מדי זמן בפשפוש בחומר הפתוח (למרות שזה ממש מפתה)! ניסיון העבר מלמד כי רבים לא מספיקים להגיע לכל השאלות בזמן המוקצב למבחן.סמנו לכם במרקר סעיף שהיה בעייתי ורק אם נשאר זמן, תחזרו אליו כמובן בכל הכוח! </a:t>
          </a:r>
        </a:p>
        <a:p>
          <a:pPr rtl="1"/>
          <a:r>
            <a:rPr lang="he-IL" sz="4000" b="0" i="0" u="none" baseline="0">
              <a:solidFill>
                <a:schemeClr val="dk1"/>
              </a:solidFill>
              <a:effectLst/>
              <a:latin typeface="+mn-lt"/>
              <a:ea typeface="+mn-ea"/>
              <a:cs typeface="+mn-cs"/>
            </a:rPr>
            <a:t> </a:t>
          </a:r>
        </a:p>
        <a:p>
          <a:pPr rtl="1"/>
          <a:r>
            <a:rPr lang="he-IL" sz="4000" b="0" i="0" u="none" baseline="0">
              <a:solidFill>
                <a:schemeClr val="dk1"/>
              </a:solidFill>
              <a:effectLst/>
              <a:latin typeface="+mn-lt"/>
              <a:ea typeface="+mn-ea"/>
              <a:cs typeface="+mn-cs"/>
            </a:rPr>
            <a:t>🏆 לא לבזבז זמן על בדיקת התוצאות שקיבלתם- </a:t>
          </a:r>
        </a:p>
        <a:p>
          <a:pPr rtl="1"/>
          <a:r>
            <a:rPr lang="he-IL" sz="4000" b="0" i="0" u="none" baseline="0">
              <a:solidFill>
                <a:schemeClr val="dk1"/>
              </a:solidFill>
              <a:effectLst/>
              <a:latin typeface="+mn-lt"/>
              <a:ea typeface="+mn-ea"/>
              <a:cs typeface="+mn-cs"/>
            </a:rPr>
            <a:t>רק אם נותר לכם זמן יהיה כדאי לחזור ולבדוק האם התוצאות הגיוניות... </a:t>
          </a:r>
        </a:p>
        <a:p>
          <a:pPr rtl="1"/>
          <a:endParaRPr lang="he-IL" sz="4000" b="0" i="0" u="none" baseline="0">
            <a:solidFill>
              <a:schemeClr val="dk1"/>
            </a:solidFill>
            <a:effectLst/>
            <a:latin typeface="+mn-lt"/>
            <a:ea typeface="+mn-ea"/>
            <a:cs typeface="+mn-cs"/>
          </a:endParaRPr>
        </a:p>
        <a:p>
          <a:pPr rtl="1"/>
          <a:r>
            <a:rPr lang="he-IL" sz="4000" b="0" i="0" u="none" baseline="0">
              <a:solidFill>
                <a:schemeClr val="dk1"/>
              </a:solidFill>
              <a:effectLst/>
              <a:latin typeface="+mn-lt"/>
              <a:ea typeface="+mn-ea"/>
              <a:cs typeface="+mn-cs"/>
            </a:rPr>
            <a:t>🏆 תאי עזר יש למקם היכן שביקשו בטופס המבחן. רשמו ליד כל תא עזר לאיזו שאלה הוא שייך (כדאי גם להשתמש בצבעים):בכך תעזרו לבודק המבחן להבין בקלות מה שייך לכל שאלה וגם תקלו עליו להבין מה התכוונתם לעשות בפתרון.</a:t>
          </a:r>
        </a:p>
        <a:p>
          <a:pPr rtl="1"/>
          <a:endParaRPr lang="he-IL" sz="4000" b="0" i="0" u="none" baseline="0">
            <a:solidFill>
              <a:schemeClr val="dk1"/>
            </a:solidFill>
            <a:effectLst/>
            <a:latin typeface="+mn-lt"/>
            <a:ea typeface="+mn-ea"/>
            <a:cs typeface="+mn-cs"/>
          </a:endParaRPr>
        </a:p>
        <a:p>
          <a:pPr rtl="1"/>
          <a:r>
            <a:rPr lang="he-IL" sz="4000" b="0" i="0" u="none" baseline="0">
              <a:solidFill>
                <a:schemeClr val="dk1"/>
              </a:solidFill>
              <a:effectLst/>
              <a:latin typeface="+mn-lt"/>
              <a:ea typeface="+mn-ea"/>
              <a:cs typeface="+mn-cs"/>
            </a:rPr>
            <a:t> 🏆 זיכרו: גם אם יש טעות, יורד ניקוד חלקי בלבד (הבדיקה ממש הוגנת) אז נסו למלא כמה שיותר תוכן בתשובות שלכם!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663387</xdr:colOff>
      <xdr:row>0</xdr:row>
      <xdr:rowOff>215153</xdr:rowOff>
    </xdr:from>
    <xdr:to>
      <xdr:col>19</xdr:col>
      <xdr:colOff>646261</xdr:colOff>
      <xdr:row>15</xdr:row>
      <xdr:rowOff>71718</xdr:rowOff>
    </xdr:to>
    <xdr:pic>
      <xdr:nvPicPr>
        <xdr:cNvPr id="2" name="תמונה 1">
          <a:extLst>
            <a:ext uri="{FF2B5EF4-FFF2-40B4-BE49-F238E27FC236}">
              <a16:creationId xmlns:a16="http://schemas.microsoft.com/office/drawing/2014/main" id="{C93B6F49-042F-FDB0-2E0A-5FD57554A5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2409621" y="215153"/>
          <a:ext cx="8158686" cy="2698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932530</xdr:colOff>
      <xdr:row>27</xdr:row>
      <xdr:rowOff>91440</xdr:rowOff>
    </xdr:from>
    <xdr:to>
      <xdr:col>10</xdr:col>
      <xdr:colOff>19970</xdr:colOff>
      <xdr:row>31</xdr:row>
      <xdr:rowOff>60960</xdr:rowOff>
    </xdr:to>
    <xdr:pic>
      <xdr:nvPicPr>
        <xdr:cNvPr id="3" name="תמונה 2">
          <a:extLst>
            <a:ext uri="{FF2B5EF4-FFF2-40B4-BE49-F238E27FC236}">
              <a16:creationId xmlns:a16="http://schemas.microsoft.com/office/drawing/2014/main" id="{0CCDB473-B573-EC88-876B-D190AC92E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1527790" y="5554980"/>
          <a:ext cx="6524560"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441960</xdr:colOff>
      <xdr:row>1</xdr:row>
      <xdr:rowOff>30479</xdr:rowOff>
    </xdr:from>
    <xdr:to>
      <xdr:col>26</xdr:col>
      <xdr:colOff>571500</xdr:colOff>
      <xdr:row>14</xdr:row>
      <xdr:rowOff>135160</xdr:rowOff>
    </xdr:to>
    <xdr:pic>
      <xdr:nvPicPr>
        <xdr:cNvPr id="4" name="תמונה 3">
          <a:extLst>
            <a:ext uri="{FF2B5EF4-FFF2-40B4-BE49-F238E27FC236}">
              <a16:creationId xmlns:a16="http://schemas.microsoft.com/office/drawing/2014/main" id="{4FDE19E4-B59E-1A41-6C24-E6181086B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68448980" y="739139"/>
          <a:ext cx="8450580" cy="2482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20</xdr:col>
      <xdr:colOff>329454</xdr:colOff>
      <xdr:row>52</xdr:row>
      <xdr:rowOff>53340</xdr:rowOff>
    </xdr:from>
    <xdr:to>
      <xdr:col>27</xdr:col>
      <xdr:colOff>250066</xdr:colOff>
      <xdr:row>62</xdr:row>
      <xdr:rowOff>146888</xdr:rowOff>
    </xdr:to>
    <xdr:pic>
      <xdr:nvPicPr>
        <xdr:cNvPr id="4" name="תמונה 3">
          <a:extLst>
            <a:ext uri="{FF2B5EF4-FFF2-40B4-BE49-F238E27FC236}">
              <a16:creationId xmlns:a16="http://schemas.microsoft.com/office/drawing/2014/main" id="{4F5CE923-6E49-4762-8F4F-C209606AE51C}"/>
            </a:ext>
          </a:extLst>
        </xdr:cNvPr>
        <xdr:cNvPicPr>
          <a:picLocks noChangeAspect="1"/>
        </xdr:cNvPicPr>
      </xdr:nvPicPr>
      <xdr:blipFill>
        <a:blip xmlns:r="http://schemas.openxmlformats.org/officeDocument/2006/relationships" r:embed="rId1"/>
        <a:stretch>
          <a:fillRect/>
        </a:stretch>
      </xdr:blipFill>
      <xdr:spPr>
        <a:xfrm>
          <a:off x="10843459515" y="11209020"/>
          <a:ext cx="5193651" cy="2074748"/>
        </a:xfrm>
        <a:prstGeom prst="rect">
          <a:avLst/>
        </a:prstGeom>
      </xdr:spPr>
    </xdr:pic>
    <xdr:clientData/>
  </xdr:twoCellAnchor>
  <xdr:twoCellAnchor editAs="oneCell">
    <xdr:from>
      <xdr:col>21</xdr:col>
      <xdr:colOff>815340</xdr:colOff>
      <xdr:row>62</xdr:row>
      <xdr:rowOff>129540</xdr:rowOff>
    </xdr:from>
    <xdr:to>
      <xdr:col>27</xdr:col>
      <xdr:colOff>236731</xdr:colOff>
      <xdr:row>71</xdr:row>
      <xdr:rowOff>99304</xdr:rowOff>
    </xdr:to>
    <xdr:pic>
      <xdr:nvPicPr>
        <xdr:cNvPr id="5" name="תמונה 4">
          <a:extLst>
            <a:ext uri="{FF2B5EF4-FFF2-40B4-BE49-F238E27FC236}">
              <a16:creationId xmlns:a16="http://schemas.microsoft.com/office/drawing/2014/main" id="{3C501C49-3273-487D-9AFA-2D3FCD5668AA}"/>
            </a:ext>
          </a:extLst>
        </xdr:cNvPr>
        <xdr:cNvPicPr>
          <a:picLocks noChangeAspect="1"/>
        </xdr:cNvPicPr>
      </xdr:nvPicPr>
      <xdr:blipFill>
        <a:blip xmlns:r="http://schemas.openxmlformats.org/officeDocument/2006/relationships" r:embed="rId2"/>
        <a:stretch>
          <a:fillRect/>
        </a:stretch>
      </xdr:blipFill>
      <xdr:spPr>
        <a:xfrm>
          <a:off x="10843472849" y="13266420"/>
          <a:ext cx="3658111" cy="1752845"/>
        </a:xfrm>
        <a:prstGeom prst="rect">
          <a:avLst/>
        </a:prstGeom>
      </xdr:spPr>
    </xdr:pic>
    <xdr:clientData/>
  </xdr:twoCellAnchor>
  <xdr:twoCellAnchor editAs="oneCell">
    <xdr:from>
      <xdr:col>0</xdr:col>
      <xdr:colOff>113211</xdr:colOff>
      <xdr:row>31</xdr:row>
      <xdr:rowOff>195943</xdr:rowOff>
    </xdr:from>
    <xdr:to>
      <xdr:col>13</xdr:col>
      <xdr:colOff>2049</xdr:colOff>
      <xdr:row>36</xdr:row>
      <xdr:rowOff>150224</xdr:rowOff>
    </xdr:to>
    <xdr:pic>
      <xdr:nvPicPr>
        <xdr:cNvPr id="2" name="תמונה 1">
          <a:extLst>
            <a:ext uri="{FF2B5EF4-FFF2-40B4-BE49-F238E27FC236}">
              <a16:creationId xmlns:a16="http://schemas.microsoft.com/office/drawing/2014/main" id="{8FC8DA3B-14E8-EA5C-4464-5A5CEF2F04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74070927" y="6683829"/>
          <a:ext cx="12945291" cy="1151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396240</xdr:colOff>
      <xdr:row>0</xdr:row>
      <xdr:rowOff>259080</xdr:rowOff>
    </xdr:from>
    <xdr:to>
      <xdr:col>26</xdr:col>
      <xdr:colOff>556260</xdr:colOff>
      <xdr:row>15</xdr:row>
      <xdr:rowOff>7620</xdr:rowOff>
    </xdr:to>
    <xdr:pic>
      <xdr:nvPicPr>
        <xdr:cNvPr id="5" name="תמונה 4">
          <a:extLst>
            <a:ext uri="{FF2B5EF4-FFF2-40B4-BE49-F238E27FC236}">
              <a16:creationId xmlns:a16="http://schemas.microsoft.com/office/drawing/2014/main" id="{519AE24D-85C8-6100-6756-1455FAC64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68464220" y="259080"/>
          <a:ext cx="8458200" cy="253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365760</xdr:colOff>
      <xdr:row>17</xdr:row>
      <xdr:rowOff>149324</xdr:rowOff>
    </xdr:from>
    <xdr:to>
      <xdr:col>27</xdr:col>
      <xdr:colOff>240969</xdr:colOff>
      <xdr:row>19</xdr:row>
      <xdr:rowOff>13392</xdr:rowOff>
    </xdr:to>
    <xdr:pic>
      <xdr:nvPicPr>
        <xdr:cNvPr id="6" name="תמונה 5">
          <a:extLst>
            <a:ext uri="{FF2B5EF4-FFF2-40B4-BE49-F238E27FC236}">
              <a16:creationId xmlns:a16="http://schemas.microsoft.com/office/drawing/2014/main" id="{B2440171-163E-D405-5AEC-95DBE3F2F3A3}"/>
            </a:ext>
          </a:extLst>
        </xdr:cNvPr>
        <xdr:cNvPicPr>
          <a:picLocks noChangeAspect="1"/>
        </xdr:cNvPicPr>
      </xdr:nvPicPr>
      <xdr:blipFill>
        <a:blip xmlns:r="http://schemas.openxmlformats.org/officeDocument/2006/relationships" r:embed="rId2"/>
        <a:stretch>
          <a:fillRect/>
        </a:stretch>
      </xdr:blipFill>
      <xdr:spPr>
        <a:xfrm>
          <a:off x="10968108951" y="3456404"/>
          <a:ext cx="3898569" cy="237448"/>
        </a:xfrm>
        <a:prstGeom prst="rect">
          <a:avLst/>
        </a:prstGeom>
      </xdr:spPr>
    </xdr:pic>
    <xdr:clientData/>
  </xdr:twoCellAnchor>
  <xdr:twoCellAnchor editAs="oneCell">
    <xdr:from>
      <xdr:col>21</xdr:col>
      <xdr:colOff>388620</xdr:colOff>
      <xdr:row>19</xdr:row>
      <xdr:rowOff>172530</xdr:rowOff>
    </xdr:from>
    <xdr:to>
      <xdr:col>28</xdr:col>
      <xdr:colOff>479313</xdr:colOff>
      <xdr:row>21</xdr:row>
      <xdr:rowOff>13386</xdr:rowOff>
    </xdr:to>
    <xdr:pic>
      <xdr:nvPicPr>
        <xdr:cNvPr id="7" name="תמונה 6">
          <a:extLst>
            <a:ext uri="{FF2B5EF4-FFF2-40B4-BE49-F238E27FC236}">
              <a16:creationId xmlns:a16="http://schemas.microsoft.com/office/drawing/2014/main" id="{7C04DD7A-DD0E-8BF3-F50A-5E7C76F2C951}"/>
            </a:ext>
          </a:extLst>
        </xdr:cNvPr>
        <xdr:cNvPicPr>
          <a:picLocks noChangeAspect="1"/>
        </xdr:cNvPicPr>
      </xdr:nvPicPr>
      <xdr:blipFill>
        <a:blip xmlns:r="http://schemas.openxmlformats.org/officeDocument/2006/relationships" r:embed="rId3"/>
        <a:stretch>
          <a:fillRect/>
        </a:stretch>
      </xdr:blipFill>
      <xdr:spPr>
        <a:xfrm>
          <a:off x="10967200047" y="3852990"/>
          <a:ext cx="4784613" cy="214236"/>
        </a:xfrm>
        <a:prstGeom prst="rect">
          <a:avLst/>
        </a:prstGeom>
      </xdr:spPr>
    </xdr:pic>
    <xdr:clientData/>
  </xdr:twoCellAnchor>
  <xdr:twoCellAnchor editAs="oneCell">
    <xdr:from>
      <xdr:col>21</xdr:col>
      <xdr:colOff>426720</xdr:colOff>
      <xdr:row>22</xdr:row>
      <xdr:rowOff>1058</xdr:rowOff>
    </xdr:from>
    <xdr:to>
      <xdr:col>26</xdr:col>
      <xdr:colOff>558498</xdr:colOff>
      <xdr:row>23</xdr:row>
      <xdr:rowOff>7620</xdr:rowOff>
    </xdr:to>
    <xdr:pic>
      <xdr:nvPicPr>
        <xdr:cNvPr id="8" name="תמונה 7">
          <a:extLst>
            <a:ext uri="{FF2B5EF4-FFF2-40B4-BE49-F238E27FC236}">
              <a16:creationId xmlns:a16="http://schemas.microsoft.com/office/drawing/2014/main" id="{91DDBA07-574E-D4CB-6CA2-432449860EE7}"/>
            </a:ext>
          </a:extLst>
        </xdr:cNvPr>
        <xdr:cNvPicPr>
          <a:picLocks noChangeAspect="1"/>
        </xdr:cNvPicPr>
      </xdr:nvPicPr>
      <xdr:blipFill>
        <a:blip xmlns:r="http://schemas.openxmlformats.org/officeDocument/2006/relationships" r:embed="rId4"/>
        <a:stretch>
          <a:fillRect/>
        </a:stretch>
      </xdr:blipFill>
      <xdr:spPr>
        <a:xfrm>
          <a:off x="10968461982" y="4230158"/>
          <a:ext cx="3484578" cy="204682"/>
        </a:xfrm>
        <a:prstGeom prst="rect">
          <a:avLst/>
        </a:prstGeom>
      </xdr:spPr>
    </xdr:pic>
    <xdr:clientData/>
  </xdr:twoCellAnchor>
  <xdr:twoCellAnchor editAs="oneCell">
    <xdr:from>
      <xdr:col>2</xdr:col>
      <xdr:colOff>419100</xdr:colOff>
      <xdr:row>24</xdr:row>
      <xdr:rowOff>54520</xdr:rowOff>
    </xdr:from>
    <xdr:to>
      <xdr:col>21</xdr:col>
      <xdr:colOff>167640</xdr:colOff>
      <xdr:row>34</xdr:row>
      <xdr:rowOff>38100</xdr:rowOff>
    </xdr:to>
    <xdr:pic>
      <xdr:nvPicPr>
        <xdr:cNvPr id="2" name="תמונה 1">
          <a:extLst>
            <a:ext uri="{FF2B5EF4-FFF2-40B4-BE49-F238E27FC236}">
              <a16:creationId xmlns:a16="http://schemas.microsoft.com/office/drawing/2014/main" id="{FC7AE6AD-AD95-736A-616F-A4BC06D4B2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72205640" y="4489360"/>
          <a:ext cx="11811000" cy="173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327660</xdr:colOff>
      <xdr:row>34</xdr:row>
      <xdr:rowOff>83820</xdr:rowOff>
    </xdr:from>
    <xdr:to>
      <xdr:col>22</xdr:col>
      <xdr:colOff>465953</xdr:colOff>
      <xdr:row>49</xdr:row>
      <xdr:rowOff>141345</xdr:rowOff>
    </xdr:to>
    <xdr:pic>
      <xdr:nvPicPr>
        <xdr:cNvPr id="3" name="תמונה 2">
          <a:extLst>
            <a:ext uri="{FF2B5EF4-FFF2-40B4-BE49-F238E27FC236}">
              <a16:creationId xmlns:a16="http://schemas.microsoft.com/office/drawing/2014/main" id="{38565315-D089-51C1-BD01-D9CAEA336613}"/>
            </a:ext>
          </a:extLst>
        </xdr:cNvPr>
        <xdr:cNvPicPr>
          <a:picLocks noChangeAspect="1"/>
        </xdr:cNvPicPr>
      </xdr:nvPicPr>
      <xdr:blipFill>
        <a:blip xmlns:r="http://schemas.openxmlformats.org/officeDocument/2006/relationships" r:embed="rId6"/>
        <a:stretch>
          <a:fillRect/>
        </a:stretch>
      </xdr:blipFill>
      <xdr:spPr>
        <a:xfrm>
          <a:off x="10971236767" y="6271260"/>
          <a:ext cx="8116433" cy="2686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204060</xdr:colOff>
      <xdr:row>9</xdr:row>
      <xdr:rowOff>196560</xdr:rowOff>
    </xdr:from>
    <xdr:to>
      <xdr:col>11</xdr:col>
      <xdr:colOff>205860</xdr:colOff>
      <xdr:row>10</xdr:row>
      <xdr:rowOff>240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דיו 3">
              <a:extLst>
                <a:ext uri="{FF2B5EF4-FFF2-40B4-BE49-F238E27FC236}">
                  <a16:creationId xmlns:a16="http://schemas.microsoft.com/office/drawing/2014/main" id="{0914B3CC-FC98-1903-8578-AC0B524F6045}"/>
                </a:ext>
              </a:extLst>
            </xdr14:cNvPr>
            <xdr14:cNvContentPartPr/>
          </xdr14:nvContentPartPr>
          <xdr14:nvPr macro=""/>
          <xdr14:xfrm>
            <a:off x="10858758960" y="2391120"/>
            <a:ext cx="1800" cy="1800"/>
          </xdr14:xfrm>
        </xdr:contentPart>
      </mc:Choice>
      <mc:Fallback xmlns="">
        <xdr:pic>
          <xdr:nvPicPr>
            <xdr:cNvPr id="4" name="דיו 3">
              <a:extLst>
                <a:ext uri="{FF2B5EF4-FFF2-40B4-BE49-F238E27FC236}">
                  <a16:creationId xmlns:a16="http://schemas.microsoft.com/office/drawing/2014/main" id="{0914B3CC-FC98-1903-8578-AC0B524F6045}"/>
                </a:ext>
              </a:extLst>
            </xdr:cNvPr>
            <xdr:cNvPicPr/>
          </xdr:nvPicPr>
          <xdr:blipFill>
            <a:blip xmlns:r="http://schemas.openxmlformats.org/officeDocument/2006/relationships" r:embed="rId3"/>
            <a:stretch>
              <a:fillRect/>
            </a:stretch>
          </xdr:blipFill>
          <xdr:spPr>
            <a:xfrm>
              <a:off x="10858749960" y="2382120"/>
              <a:ext cx="19440" cy="19440"/>
            </a:xfrm>
            <a:prstGeom prst="rect">
              <a:avLst/>
            </a:prstGeom>
          </xdr:spPr>
        </xdr:pic>
      </mc:Fallback>
    </mc:AlternateContent>
    <xdr:clientData/>
  </xdr:twoCellAnchor>
  <xdr:twoCellAnchor editAs="oneCell">
    <xdr:from>
      <xdr:col>11</xdr:col>
      <xdr:colOff>891300</xdr:colOff>
      <xdr:row>0</xdr:row>
      <xdr:rowOff>586440</xdr:rowOff>
    </xdr:from>
    <xdr:to>
      <xdr:col>11</xdr:col>
      <xdr:colOff>891660</xdr:colOff>
      <xdr:row>0</xdr:row>
      <xdr:rowOff>586800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דיו 4">
              <a:extLst>
                <a:ext uri="{FF2B5EF4-FFF2-40B4-BE49-F238E27FC236}">
                  <a16:creationId xmlns:a16="http://schemas.microsoft.com/office/drawing/2014/main" id="{5EFB150E-12AC-2982-2C63-5E807714D73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twoCellAnchor>
  <xdr:twoCellAnchor editAs="oneCell">
    <xdr:from>
      <xdr:col>7</xdr:col>
      <xdr:colOff>360</xdr:colOff>
      <xdr:row>2</xdr:row>
      <xdr:rowOff>45480</xdr:rowOff>
    </xdr:from>
    <xdr:to>
      <xdr:col>7</xdr:col>
      <xdr:colOff>360</xdr:colOff>
      <xdr:row>2</xdr:row>
      <xdr:rowOff>45840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דיו 5">
              <a:extLst>
                <a:ext uri="{FF2B5EF4-FFF2-40B4-BE49-F238E27FC236}">
                  <a16:creationId xmlns:a16="http://schemas.microsoft.com/office/drawing/2014/main" id="{ADB51FC0-E71D-028A-FFFF-93C9D10C9B3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twoCellAnchor>
  <xdr:twoCellAnchor editAs="oneCell">
    <xdr:from>
      <xdr:col>13</xdr:col>
      <xdr:colOff>441960</xdr:colOff>
      <xdr:row>2</xdr:row>
      <xdr:rowOff>22860</xdr:rowOff>
    </xdr:from>
    <xdr:to>
      <xdr:col>20</xdr:col>
      <xdr:colOff>902783</xdr:colOff>
      <xdr:row>9</xdr:row>
      <xdr:rowOff>129540</xdr:rowOff>
    </xdr:to>
    <xdr:pic>
      <xdr:nvPicPr>
        <xdr:cNvPr id="3" name="תמונה 2">
          <a:extLst>
            <a:ext uri="{FF2B5EF4-FFF2-40B4-BE49-F238E27FC236}">
              <a16:creationId xmlns:a16="http://schemas.microsoft.com/office/drawing/2014/main" id="{F87DEDE5-BBF2-3A55-5213-7DC0DD67084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48079837" y="830580"/>
          <a:ext cx="7227383" cy="149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647700</xdr:colOff>
      <xdr:row>28</xdr:row>
      <xdr:rowOff>175260</xdr:rowOff>
    </xdr:from>
    <xdr:to>
      <xdr:col>21</xdr:col>
      <xdr:colOff>2038254</xdr:colOff>
      <xdr:row>32</xdr:row>
      <xdr:rowOff>175260</xdr:rowOff>
    </xdr:to>
    <xdr:pic>
      <xdr:nvPicPr>
        <xdr:cNvPr id="3" name="תמונה 2">
          <a:extLst>
            <a:ext uri="{FF2B5EF4-FFF2-40B4-BE49-F238E27FC236}">
              <a16:creationId xmlns:a16="http://schemas.microsoft.com/office/drawing/2014/main" id="{FE1E32E7-411C-53FB-F540-4773112822C0}"/>
            </a:ext>
          </a:extLst>
        </xdr:cNvPr>
        <xdr:cNvPicPr>
          <a:picLocks noChangeAspect="1"/>
        </xdr:cNvPicPr>
      </xdr:nvPicPr>
      <xdr:blipFill>
        <a:blip xmlns:r="http://schemas.openxmlformats.org/officeDocument/2006/relationships" r:embed="rId1"/>
        <a:stretch>
          <a:fillRect/>
        </a:stretch>
      </xdr:blipFill>
      <xdr:spPr>
        <a:xfrm>
          <a:off x="10971371346" y="6454140"/>
          <a:ext cx="9262014" cy="868680"/>
        </a:xfrm>
        <a:prstGeom prst="rect">
          <a:avLst/>
        </a:prstGeom>
      </xdr:spPr>
    </xdr:pic>
    <xdr:clientData/>
  </xdr:twoCellAnchor>
  <xdr:twoCellAnchor editAs="oneCell">
    <xdr:from>
      <xdr:col>11</xdr:col>
      <xdr:colOff>624840</xdr:colOff>
      <xdr:row>35</xdr:row>
      <xdr:rowOff>7308</xdr:rowOff>
    </xdr:from>
    <xdr:to>
      <xdr:col>21</xdr:col>
      <xdr:colOff>853440</xdr:colOff>
      <xdr:row>37</xdr:row>
      <xdr:rowOff>217491</xdr:rowOff>
    </xdr:to>
    <xdr:pic>
      <xdr:nvPicPr>
        <xdr:cNvPr id="6" name="תמונה 5">
          <a:extLst>
            <a:ext uri="{FF2B5EF4-FFF2-40B4-BE49-F238E27FC236}">
              <a16:creationId xmlns:a16="http://schemas.microsoft.com/office/drawing/2014/main" id="{0733A09F-2CFC-2CB8-A180-4313A43AA5EE}"/>
            </a:ext>
          </a:extLst>
        </xdr:cNvPr>
        <xdr:cNvPicPr>
          <a:picLocks noChangeAspect="1"/>
        </xdr:cNvPicPr>
      </xdr:nvPicPr>
      <xdr:blipFill>
        <a:blip xmlns:r="http://schemas.openxmlformats.org/officeDocument/2006/relationships" r:embed="rId2"/>
        <a:stretch>
          <a:fillRect/>
        </a:stretch>
      </xdr:blipFill>
      <xdr:spPr>
        <a:xfrm>
          <a:off x="10972556160" y="7932108"/>
          <a:ext cx="8100060" cy="728343"/>
        </a:xfrm>
        <a:prstGeom prst="rect">
          <a:avLst/>
        </a:prstGeom>
      </xdr:spPr>
    </xdr:pic>
    <xdr:clientData/>
  </xdr:twoCellAnchor>
  <xdr:twoCellAnchor editAs="oneCell">
    <xdr:from>
      <xdr:col>14</xdr:col>
      <xdr:colOff>137160</xdr:colOff>
      <xdr:row>0</xdr:row>
      <xdr:rowOff>0</xdr:rowOff>
    </xdr:from>
    <xdr:to>
      <xdr:col>22</xdr:col>
      <xdr:colOff>281940</xdr:colOff>
      <xdr:row>15</xdr:row>
      <xdr:rowOff>183234</xdr:rowOff>
    </xdr:to>
    <xdr:pic>
      <xdr:nvPicPr>
        <xdr:cNvPr id="7" name="תמונה 6">
          <a:extLst>
            <a:ext uri="{FF2B5EF4-FFF2-40B4-BE49-F238E27FC236}">
              <a16:creationId xmlns:a16="http://schemas.microsoft.com/office/drawing/2014/main" id="{D36BC14A-1391-B2E6-3833-4B4995152C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70948340" y="0"/>
          <a:ext cx="8016240" cy="3269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93183</xdr:colOff>
      <xdr:row>1</xdr:row>
      <xdr:rowOff>155473</xdr:rowOff>
    </xdr:from>
    <xdr:to>
      <xdr:col>21</xdr:col>
      <xdr:colOff>163356</xdr:colOff>
      <xdr:row>12</xdr:row>
      <xdr:rowOff>114437</xdr:rowOff>
    </xdr:to>
    <xdr:pic>
      <xdr:nvPicPr>
        <xdr:cNvPr id="3" name="תמונה 2" descr="תמונה שמכילה טקסט, גופן, צילום מסך, לבן&#10;&#10;התיאור נוצר באופן אוטומטי">
          <a:extLst>
            <a:ext uri="{FF2B5EF4-FFF2-40B4-BE49-F238E27FC236}">
              <a16:creationId xmlns:a16="http://schemas.microsoft.com/office/drawing/2014/main" id="{0194EAD9-FA23-12BD-0841-EC10EEE9514F}"/>
            </a:ext>
          </a:extLst>
        </xdr:cNvPr>
        <xdr:cNvPicPr>
          <a:picLocks noChangeAspect="1"/>
        </xdr:cNvPicPr>
      </xdr:nvPicPr>
      <xdr:blipFill>
        <a:blip xmlns:r="http://schemas.openxmlformats.org/officeDocument/2006/relationships" r:embed="rId1"/>
        <a:stretch>
          <a:fillRect/>
        </a:stretch>
      </xdr:blipFill>
      <xdr:spPr>
        <a:xfrm>
          <a:off x="11002489114" y="747144"/>
          <a:ext cx="8272879" cy="2128422"/>
        </a:xfrm>
        <a:prstGeom prst="rect">
          <a:avLst/>
        </a:prstGeom>
      </xdr:spPr>
    </xdr:pic>
    <xdr:clientData/>
  </xdr:twoCellAnchor>
  <xdr:twoCellAnchor editAs="oneCell">
    <xdr:from>
      <xdr:col>15</xdr:col>
      <xdr:colOff>403412</xdr:colOff>
      <xdr:row>13</xdr:row>
      <xdr:rowOff>22598</xdr:rowOff>
    </xdr:from>
    <xdr:to>
      <xdr:col>21</xdr:col>
      <xdr:colOff>313823</xdr:colOff>
      <xdr:row>24</xdr:row>
      <xdr:rowOff>188982</xdr:rowOff>
    </xdr:to>
    <xdr:pic>
      <xdr:nvPicPr>
        <xdr:cNvPr id="5" name="תמונה 4" descr="תמונה שמכילה טקסט, גופן, צילום מסך, מספר&#10;&#10;התיאור נוצר באופן אוטומטי">
          <a:extLst>
            <a:ext uri="{FF2B5EF4-FFF2-40B4-BE49-F238E27FC236}">
              <a16:creationId xmlns:a16="http://schemas.microsoft.com/office/drawing/2014/main" id="{0E746BDB-7F13-4CC3-A3C0-156D231D4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02338647" y="2980951"/>
          <a:ext cx="8113117" cy="282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793406</xdr:colOff>
      <xdr:row>25</xdr:row>
      <xdr:rowOff>86810</xdr:rowOff>
    </xdr:from>
    <xdr:to>
      <xdr:col>25</xdr:col>
      <xdr:colOff>477822</xdr:colOff>
      <xdr:row>50</xdr:row>
      <xdr:rowOff>134470</xdr:rowOff>
    </xdr:to>
    <xdr:pic>
      <xdr:nvPicPr>
        <xdr:cNvPr id="2" name="תמונה 1">
          <a:extLst>
            <a:ext uri="{FF2B5EF4-FFF2-40B4-BE49-F238E27FC236}">
              <a16:creationId xmlns:a16="http://schemas.microsoft.com/office/drawing/2014/main" id="{520E0CB1-E92A-EBFB-97CC-F9CE60C253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98543942" y="5904904"/>
          <a:ext cx="14852699" cy="4601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51050</xdr:colOff>
      <xdr:row>17</xdr:row>
      <xdr:rowOff>130618</xdr:rowOff>
    </xdr:from>
    <xdr:to>
      <xdr:col>21</xdr:col>
      <xdr:colOff>188259</xdr:colOff>
      <xdr:row>26</xdr:row>
      <xdr:rowOff>120870</xdr:rowOff>
    </xdr:to>
    <xdr:pic>
      <xdr:nvPicPr>
        <xdr:cNvPr id="6" name="תמונה 5">
          <a:extLst>
            <a:ext uri="{FF2B5EF4-FFF2-40B4-BE49-F238E27FC236}">
              <a16:creationId xmlns:a16="http://schemas.microsoft.com/office/drawing/2014/main" id="{5CCB08D8-34C6-16DA-9363-58DFF960E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09841991" y="3758056"/>
          <a:ext cx="8471584" cy="163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1924497</xdr:colOff>
      <xdr:row>38</xdr:row>
      <xdr:rowOff>53788</xdr:rowOff>
    </xdr:from>
    <xdr:to>
      <xdr:col>22</xdr:col>
      <xdr:colOff>592118</xdr:colOff>
      <xdr:row>44</xdr:row>
      <xdr:rowOff>69029</xdr:rowOff>
    </xdr:to>
    <xdr:pic>
      <xdr:nvPicPr>
        <xdr:cNvPr id="2" name="תמונה 1">
          <a:extLst>
            <a:ext uri="{FF2B5EF4-FFF2-40B4-BE49-F238E27FC236}">
              <a16:creationId xmlns:a16="http://schemas.microsoft.com/office/drawing/2014/main" id="{34BBE1DC-F632-3AB7-486C-A2E9CDC35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00446705" y="8695764"/>
          <a:ext cx="7695080" cy="1091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548639</xdr:colOff>
      <xdr:row>1</xdr:row>
      <xdr:rowOff>121920</xdr:rowOff>
    </xdr:from>
    <xdr:to>
      <xdr:col>24</xdr:col>
      <xdr:colOff>570737</xdr:colOff>
      <xdr:row>6</xdr:row>
      <xdr:rowOff>22860</xdr:rowOff>
    </xdr:to>
    <xdr:pic>
      <xdr:nvPicPr>
        <xdr:cNvPr id="3" name="תמונה 2">
          <a:extLst>
            <a:ext uri="{FF2B5EF4-FFF2-40B4-BE49-F238E27FC236}">
              <a16:creationId xmlns:a16="http://schemas.microsoft.com/office/drawing/2014/main" id="{86C18F4B-64E6-8BE6-D1D8-E9A86E38F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5632843" y="297180"/>
          <a:ext cx="12137898" cy="777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629360</xdr:colOff>
      <xdr:row>26</xdr:row>
      <xdr:rowOff>7620</xdr:rowOff>
    </xdr:from>
    <xdr:to>
      <xdr:col>21</xdr:col>
      <xdr:colOff>685800</xdr:colOff>
      <xdr:row>32</xdr:row>
      <xdr:rowOff>114300</xdr:rowOff>
    </xdr:to>
    <xdr:pic>
      <xdr:nvPicPr>
        <xdr:cNvPr id="3" name="תמונה 2">
          <a:extLst>
            <a:ext uri="{FF2B5EF4-FFF2-40B4-BE49-F238E27FC236}">
              <a16:creationId xmlns:a16="http://schemas.microsoft.com/office/drawing/2014/main" id="{57FAB06F-AC3A-E6A5-45DC-C3F4CBEB9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97745140" y="4564380"/>
          <a:ext cx="8019340" cy="115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640080</xdr:colOff>
      <xdr:row>40</xdr:row>
      <xdr:rowOff>22860</xdr:rowOff>
    </xdr:from>
    <xdr:to>
      <xdr:col>20</xdr:col>
      <xdr:colOff>461491</xdr:colOff>
      <xdr:row>42</xdr:row>
      <xdr:rowOff>110551</xdr:rowOff>
    </xdr:to>
    <xdr:pic>
      <xdr:nvPicPr>
        <xdr:cNvPr id="3" name="תמונה 2">
          <a:extLst>
            <a:ext uri="{FF2B5EF4-FFF2-40B4-BE49-F238E27FC236}">
              <a16:creationId xmlns:a16="http://schemas.microsoft.com/office/drawing/2014/main" id="{177900D2-8D8D-5617-E8C0-B07B99FD1055}"/>
            </a:ext>
          </a:extLst>
        </xdr:cNvPr>
        <xdr:cNvPicPr>
          <a:picLocks noChangeAspect="1"/>
        </xdr:cNvPicPr>
      </xdr:nvPicPr>
      <xdr:blipFill>
        <a:blip xmlns:r="http://schemas.openxmlformats.org/officeDocument/2006/relationships" r:embed="rId1"/>
        <a:stretch>
          <a:fillRect/>
        </a:stretch>
      </xdr:blipFill>
      <xdr:spPr>
        <a:xfrm>
          <a:off x="10972582349" y="11818620"/>
          <a:ext cx="3448531" cy="438211"/>
        </a:xfrm>
        <a:prstGeom prst="rect">
          <a:avLst/>
        </a:prstGeom>
      </xdr:spPr>
    </xdr:pic>
    <xdr:clientData/>
  </xdr:twoCellAnchor>
  <xdr:twoCellAnchor editAs="oneCell">
    <xdr:from>
      <xdr:col>1</xdr:col>
      <xdr:colOff>1028700</xdr:colOff>
      <xdr:row>26</xdr:row>
      <xdr:rowOff>91440</xdr:rowOff>
    </xdr:from>
    <xdr:to>
      <xdr:col>12</xdr:col>
      <xdr:colOff>530066</xdr:colOff>
      <xdr:row>30</xdr:row>
      <xdr:rowOff>22860</xdr:rowOff>
    </xdr:to>
    <xdr:pic>
      <xdr:nvPicPr>
        <xdr:cNvPr id="5" name="תמונה 4">
          <a:extLst>
            <a:ext uri="{FF2B5EF4-FFF2-40B4-BE49-F238E27FC236}">
              <a16:creationId xmlns:a16="http://schemas.microsoft.com/office/drawing/2014/main" id="{784AA8EC-A261-52D1-A5DB-B3A85A2136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79592754" y="5372100"/>
          <a:ext cx="10565606"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xdr:colOff>
      <xdr:row>29</xdr:row>
      <xdr:rowOff>77288</xdr:rowOff>
    </xdr:from>
    <xdr:to>
      <xdr:col>13</xdr:col>
      <xdr:colOff>298994</xdr:colOff>
      <xdr:row>39</xdr:row>
      <xdr:rowOff>130628</xdr:rowOff>
    </xdr:to>
    <xdr:pic>
      <xdr:nvPicPr>
        <xdr:cNvPr id="5" name="תמונה 4">
          <a:extLst>
            <a:ext uri="{FF2B5EF4-FFF2-40B4-BE49-F238E27FC236}">
              <a16:creationId xmlns:a16="http://schemas.microsoft.com/office/drawing/2014/main" id="{3462A816-E838-D0E8-0909-F5CA95654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73767578" y="6173288"/>
          <a:ext cx="13346611" cy="2230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1511;&#1493;&#1489;&#1512;&#1492;\&#1514;&#1513;&#1508;&#1491;%202024%20&#1505;&#1502;&#1505;&#1496;&#1512;%20&#1488;\&#1500;&#1497;&#1502;&#1493;&#1491;&#1497;&#1493;&#1514;%202024\&#1502;&#1504;&#1506;&#1505;\&#1513;&#1504;&#1492;%20&#1488;%20&#1500;&#1497;&#1502;&#1493;&#1491;&#1497;&#1497;&#1514;%20&#1488;&#1511;&#1505;&#1500;%20&#1502;&#1504;&#1506;&#1505;\&#1502;&#1493;&#1506;&#1491;%20&#1489;%202022\&#1508;&#1514;&#1512;&#1493;&#1503;%20&#1502;&#1512;&#1510;&#1492;.xlsx" TargetMode="External"/><Relationship Id="rId1" Type="http://schemas.openxmlformats.org/officeDocument/2006/relationships/externalLinkPath" Target="/&#1511;&#1493;&#1489;&#1512;&#1492;/&#1514;&#1513;&#1508;&#1491;%202024%20&#1505;&#1502;&#1505;&#1496;&#1512;%20&#1488;/&#1500;&#1497;&#1502;&#1493;&#1491;&#1497;&#1493;&#1514;%202024/&#1502;&#1504;&#1506;&#1505;/&#1513;&#1504;&#1492;%20&#1488;%20&#1500;&#1497;&#1502;&#1493;&#1491;&#1497;&#1497;&#1514;%20&#1488;&#1511;&#1505;&#1500;%20&#1502;&#1504;&#1506;&#1505;/&#1502;&#1493;&#1506;&#1491;%20&#1489;%202022/&#1508;&#1514;&#1512;&#1493;&#1503;%20&#1502;&#1512;&#1510;&#149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1511;&#1493;&#1489;&#1512;&#1492;\&#1514;&#1513;&#1508;&#1491;%202024%20&#1505;&#1502;&#1505;&#1496;&#1512;%20&#1488;\&#1500;&#1497;&#1502;&#1493;&#1491;&#1497;&#1493;&#1514;%202024\&#1502;&#1504;&#1506;&#1505;\&#1513;&#1504;&#1492;%20&#1488;%20&#1500;&#1497;&#1502;&#1493;&#1491;&#1497;&#1497;&#1514;%20&#1488;&#1511;&#1505;&#1500;%20&#1502;&#1504;&#1506;&#1505;\&#1502;&#1493;&#1506;&#1491;%20&#1488;%202023\File_0_&#1508;&#1514;&#1512;&#1493;&#1503;%20&#1502;&#1493;&#1506;&#1491;%20&#1488;.xlsx" TargetMode="External"/><Relationship Id="rId1" Type="http://schemas.openxmlformats.org/officeDocument/2006/relationships/externalLinkPath" Target="/&#1511;&#1493;&#1489;&#1512;&#1492;/&#1514;&#1513;&#1508;&#1491;%202024%20&#1505;&#1502;&#1505;&#1496;&#1512;%20&#1488;/&#1500;&#1497;&#1502;&#1493;&#1491;&#1497;&#1493;&#1514;%202024/&#1502;&#1504;&#1506;&#1505;/&#1513;&#1504;&#1492;%20&#1488;%20&#1500;&#1497;&#1502;&#1493;&#1491;&#1497;&#1497;&#1514;%20&#1488;&#1511;&#1505;&#1500;%20&#1502;&#1504;&#1506;&#1505;/&#1502;&#1493;&#1506;&#1491;%20&#1488;%202023/File_0_&#1508;&#1514;&#1512;&#1493;&#1503;%20&#1502;&#1493;&#1506;&#1491;%20&#1488;.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1511;&#1493;&#1489;&#1512;&#1492;\&#1514;&#1513;&#1508;&#1491;%202024%20&#1505;&#1502;&#1505;&#1496;&#1512;%20&#1488;\&#1500;&#1497;&#1502;&#1493;&#1491;&#1497;&#1493;&#1514;%202024\&#1502;&#1504;&#1506;&#1505;\&#1513;&#1504;&#1492;%20&#1488;%20&#1500;&#1497;&#1502;&#1493;&#1491;&#1497;&#1497;&#1514;%20&#1488;&#1511;&#1505;&#1500;%20&#1502;&#1504;&#1506;&#1505;\&#1502;&#1493;&#1506;&#1491;%20&#1488;%20&#1493;&#1508;&#1514;&#1512;&#1493;&#1503;%202022\&#1502;-&#1504;&#1493;&#1513;&#1488;%20115200%20&#1497;&#1497;&#1513;&#1493;&#1502;&#1497;%20&#1502;&#1495;&#1513;&#1489;%20&#1489;&#1504;&#1497;&#1492;&#1493;&#1500;%20&#1502;&#1493;&#1506;&#1491;%201.xlsx" TargetMode="External"/><Relationship Id="rId1" Type="http://schemas.openxmlformats.org/officeDocument/2006/relationships/externalLinkPath" Target="/&#1511;&#1493;&#1489;&#1512;&#1492;/&#1514;&#1513;&#1508;&#1491;%202024%20&#1505;&#1502;&#1505;&#1496;&#1512;%20&#1488;/&#1500;&#1497;&#1502;&#1493;&#1491;&#1497;&#1493;&#1514;%202024/&#1502;&#1504;&#1506;&#1505;/&#1513;&#1504;&#1492;%20&#1488;%20&#1500;&#1497;&#1502;&#1493;&#1491;&#1497;&#1497;&#1514;%20&#1488;&#1511;&#1505;&#1500;%20&#1502;&#1504;&#1506;&#1505;/&#1502;&#1493;&#1506;&#1491;%20&#1488;%20&#1493;&#1508;&#1514;&#1512;&#1493;&#1503;%202022/&#1502;-&#1504;&#1493;&#1513;&#1488;%20115200%20&#1497;&#1497;&#1513;&#1493;&#1502;&#1497;%20&#1502;&#1495;&#1513;&#1489;%20&#1489;&#1504;&#1497;&#1492;&#1493;&#1500;%20&#1502;&#1493;&#1506;&#1491;%2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1511;&#1493;&#1489;&#1512;&#1492;\&#1514;&#1513;&#1508;&#1491;%202024%20&#1505;&#1502;&#1505;&#1496;&#1512;%20&#1488;\&#1500;&#1497;&#1502;&#1493;&#1491;&#1497;&#1493;&#1514;%202024\&#1502;&#1504;&#1506;&#1505;\&#1513;&#1504;&#1492;%20&#1488;%20&#1500;&#1497;&#1502;&#1493;&#1491;&#1497;&#1497;&#1514;%20&#1488;&#1511;&#1505;&#1500;%20&#1502;&#1504;&#1506;&#1505;\&#1488;&#1497;&#1503;%20&#1508;&#1514;&#1512;&#1493;&#1503;%20&#1502;&#1512;&#1510;&#1492;%20&#1502;&#1493;&#1506;&#1491;%20&#1488;%20&#1505;&#1502;&#1505;&#1496;&#1512;%20&#1488;&#1489;&#1497;&#1489;%202023\&#1508;&#1514;&#1512;&#1493;&#1503;%20&#1514;&#1500;&#1502;&#1497;&#1491;,%20&#1510;&#1497;&#1493;&#1503;%2095%20&#1508;&#1500;&#1493;&#1505;.xlsx" TargetMode="External"/><Relationship Id="rId1" Type="http://schemas.openxmlformats.org/officeDocument/2006/relationships/externalLinkPath" Target="/&#1511;&#1493;&#1489;&#1512;&#1492;/&#1514;&#1513;&#1508;&#1491;%202024%20&#1505;&#1502;&#1505;&#1496;&#1512;%20&#1488;/&#1500;&#1497;&#1502;&#1493;&#1491;&#1497;&#1493;&#1514;%202024/&#1502;&#1504;&#1506;&#1505;/&#1513;&#1504;&#1492;%20&#1488;%20&#1500;&#1497;&#1502;&#1493;&#1491;&#1497;&#1497;&#1514;%20&#1488;&#1511;&#1505;&#1500;%20&#1502;&#1504;&#1506;&#1505;/&#1488;&#1497;&#1503;%20&#1508;&#1514;&#1512;&#1493;&#1503;%20&#1502;&#1512;&#1510;&#1492;%20&#1502;&#1493;&#1506;&#1491;%20&#1488;%20&#1505;&#1502;&#1505;&#1496;&#1512;%20&#1488;&#1489;&#1497;&#1489;%202023/&#1508;&#1514;&#1512;&#1493;&#1503;%20&#1514;&#1500;&#1502;&#1497;&#1491;,%20&#1510;&#1497;&#1493;&#1503;%2095%20&#1508;&#1500;&#1493;&#15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פרטים אישיים"/>
      <sheetName val="נתונים נוספים"/>
      <sheetName val="תוכנות"/>
      <sheetName val="תרשים"/>
      <sheetName val="ניתוח"/>
      <sheetName val="1234"/>
      <sheetName val="בדיקה"/>
    </sheetNames>
    <sheetDataSet>
      <sheetData sheetId="0"/>
      <sheetData sheetId="1">
        <row r="4">
          <cell r="C4">
            <v>1</v>
          </cell>
          <cell r="D4">
            <v>0.03</v>
          </cell>
          <cell r="E4">
            <v>0</v>
          </cell>
          <cell r="F4">
            <v>0.05</v>
          </cell>
          <cell r="G4">
            <v>0.02</v>
          </cell>
          <cell r="H4">
            <v>0.05</v>
          </cell>
          <cell r="I4">
            <v>0.01</v>
          </cell>
          <cell r="J4">
            <v>0</v>
          </cell>
        </row>
        <row r="5">
          <cell r="C5">
            <v>4</v>
          </cell>
          <cell r="D5">
            <v>0.11</v>
          </cell>
          <cell r="E5">
            <v>0.08</v>
          </cell>
          <cell r="F5">
            <v>0</v>
          </cell>
          <cell r="G5">
            <v>0.04</v>
          </cell>
          <cell r="H5">
            <v>0.09</v>
          </cell>
          <cell r="I5">
            <v>0</v>
          </cell>
          <cell r="J5">
            <v>2.5000000000000001E-2</v>
          </cell>
        </row>
        <row r="6">
          <cell r="C6">
            <v>6</v>
          </cell>
          <cell r="D6">
            <v>0</v>
          </cell>
          <cell r="E6">
            <v>5.5E-2</v>
          </cell>
          <cell r="F6">
            <v>2.5000000000000001E-2</v>
          </cell>
          <cell r="G6">
            <v>0</v>
          </cell>
          <cell r="H6">
            <v>0.06</v>
          </cell>
          <cell r="I6">
            <v>3.5000000000000003E-2</v>
          </cell>
          <cell r="J6">
            <v>0.1</v>
          </cell>
        </row>
        <row r="9">
          <cell r="M9" t="str">
            <v>אבטחה</v>
          </cell>
          <cell r="N9">
            <v>2</v>
          </cell>
        </row>
        <row r="10">
          <cell r="B10" t="str">
            <v>סניפים</v>
          </cell>
          <cell r="M10" t="str">
            <v>בידור</v>
          </cell>
          <cell r="N10">
            <v>3</v>
          </cell>
        </row>
        <row r="11">
          <cell r="M11" t="str">
            <v>מצגות</v>
          </cell>
          <cell r="N11">
            <v>4</v>
          </cell>
        </row>
        <row r="12">
          <cell r="M12" t="str">
            <v>משרדית</v>
          </cell>
          <cell r="N12">
            <v>5</v>
          </cell>
        </row>
        <row r="13">
          <cell r="M13" t="str">
            <v>אנטיוירוס</v>
          </cell>
          <cell r="N13">
            <v>6</v>
          </cell>
        </row>
        <row r="14">
          <cell r="M14" t="str">
            <v>שרטוט</v>
          </cell>
          <cell r="N14">
            <v>7</v>
          </cell>
        </row>
        <row r="15">
          <cell r="M15" t="str">
            <v>דחיסה</v>
          </cell>
          <cell r="N15">
            <v>8</v>
          </cell>
        </row>
      </sheetData>
      <sheetData sheetId="2"/>
      <sheetData sheetId="3" refreshError="1"/>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נתונים נוספים"/>
      <sheetName val="לקוחות"/>
      <sheetName val="איש הקשר"/>
      <sheetName val="התפלגות לקוחות והכנסות"/>
      <sheetName val="דוח לקוחות"/>
      <sheetName val="גיליון1"/>
      <sheetName val="גיליון2"/>
    </sheetNames>
    <sheetDataSet>
      <sheetData sheetId="0">
        <row r="3">
          <cell r="A3" t="str">
            <v>אנליסט</v>
          </cell>
          <cell r="B3">
            <v>22000</v>
          </cell>
          <cell r="C3">
            <v>500</v>
          </cell>
        </row>
        <row r="4">
          <cell r="A4" t="str">
            <v>שותף ניהול</v>
          </cell>
          <cell r="B4">
            <v>25000</v>
          </cell>
          <cell r="C4">
            <v>300</v>
          </cell>
        </row>
        <row r="5">
          <cell r="A5" t="str">
            <v>מנכ"ל</v>
          </cell>
          <cell r="B5">
            <v>13000</v>
          </cell>
          <cell r="C5">
            <v>750</v>
          </cell>
        </row>
        <row r="6">
          <cell r="A6" t="str">
            <v>יועץ</v>
          </cell>
          <cell r="B6">
            <v>12500</v>
          </cell>
          <cell r="C6">
            <v>250</v>
          </cell>
        </row>
        <row r="7">
          <cell r="A7" t="str">
            <v>מנהל מחלקת רכש</v>
          </cell>
          <cell r="B7">
            <v>10000</v>
          </cell>
          <cell r="C7">
            <v>550</v>
          </cell>
        </row>
        <row r="8">
          <cell r="A8" t="str">
            <v>מנהל</v>
          </cell>
          <cell r="B8">
            <v>15000</v>
          </cell>
          <cell r="C8">
            <v>400</v>
          </cell>
          <cell r="Q8" t="str">
            <v>רעננה</v>
          </cell>
          <cell r="R8">
            <v>2</v>
          </cell>
        </row>
        <row r="9">
          <cell r="A9" t="str">
            <v>רכש בכיר</v>
          </cell>
          <cell r="B9">
            <v>12000</v>
          </cell>
          <cell r="C9">
            <v>150</v>
          </cell>
          <cell r="Q9" t="str">
            <v>כפר סבא</v>
          </cell>
          <cell r="R9">
            <v>3</v>
          </cell>
        </row>
        <row r="10">
          <cell r="Q10" t="str">
            <v>חולון</v>
          </cell>
          <cell r="R10">
            <v>4</v>
          </cell>
        </row>
        <row r="11">
          <cell r="Q11" t="str">
            <v>ראשון לציון</v>
          </cell>
          <cell r="R11">
            <v>5</v>
          </cell>
        </row>
        <row r="12">
          <cell r="Q12" t="str">
            <v>רחובות</v>
          </cell>
          <cell r="R12">
            <v>6</v>
          </cell>
        </row>
        <row r="13">
          <cell r="Q13" t="str">
            <v>נס-ציונה</v>
          </cell>
          <cell r="R13">
            <v>7</v>
          </cell>
        </row>
        <row r="14">
          <cell r="A14" t="str">
            <v>רבעון 1</v>
          </cell>
          <cell r="B14" t="str">
            <v>מוצר חינם</v>
          </cell>
          <cell r="C14" t="str">
            <v>זיכוי ברכישה הבאה</v>
          </cell>
          <cell r="D14" t="str">
            <v>אין הטבה</v>
          </cell>
          <cell r="E14" t="str">
            <v>הנחה על הרכישה הבאה</v>
          </cell>
          <cell r="F14" t="str">
            <v>זיכוי ברכישה הבאה</v>
          </cell>
          <cell r="G14" t="str">
            <v>מוצר חינם</v>
          </cell>
          <cell r="H14" t="str">
            <v>זיכוי ברכישה הבאה</v>
          </cell>
          <cell r="I14" t="str">
            <v>הנחה על הרכישה הבאה</v>
          </cell>
          <cell r="J14" t="str">
            <v>אין הטבה</v>
          </cell>
          <cell r="K14" t="str">
            <v>זיכוי ברכישה הבאה</v>
          </cell>
          <cell r="L14" t="str">
            <v>אין הטבה</v>
          </cell>
          <cell r="M14" t="str">
            <v>הנחה על הרכישה הבאה</v>
          </cell>
          <cell r="Q14" t="str">
            <v>הרצליה</v>
          </cell>
          <cell r="R14">
            <v>8</v>
          </cell>
        </row>
        <row r="15">
          <cell r="A15" t="str">
            <v>רבעון 2</v>
          </cell>
          <cell r="B15" t="str">
            <v>הנחה על הרכישה הבאה</v>
          </cell>
          <cell r="C15" t="str">
            <v>זיכוי ברכישה הבאה</v>
          </cell>
          <cell r="D15" t="str">
            <v>הנחה על הרכישה הבאה</v>
          </cell>
          <cell r="E15" t="str">
            <v>מוצר חינם</v>
          </cell>
          <cell r="F15" t="str">
            <v>אין הטבה</v>
          </cell>
          <cell r="G15" t="str">
            <v>זיכוי ברכישה הבאה</v>
          </cell>
          <cell r="H15" t="str">
            <v>הנחה על הרכישה הבאה</v>
          </cell>
          <cell r="I15" t="str">
            <v>מוצר חינם</v>
          </cell>
          <cell r="J15" t="str">
            <v>זיכוי ברכישה הבאה</v>
          </cell>
          <cell r="K15" t="str">
            <v>הנחה על הרכישה הבאה</v>
          </cell>
          <cell r="L15" t="str">
            <v>מוצר חינם</v>
          </cell>
          <cell r="M15" t="str">
            <v>הנחה על הרכישה הבאה</v>
          </cell>
          <cell r="Q15" t="str">
            <v>יבנה</v>
          </cell>
          <cell r="R15">
            <v>9</v>
          </cell>
        </row>
        <row r="16">
          <cell r="A16" t="str">
            <v>רבעון 3</v>
          </cell>
          <cell r="B16" t="str">
            <v>אין הטבה</v>
          </cell>
          <cell r="C16" t="str">
            <v>הנחה על הרכישה הבאה</v>
          </cell>
          <cell r="D16" t="str">
            <v>מוצר חינם</v>
          </cell>
          <cell r="E16" t="str">
            <v>הנחה על הרכישה הבאה</v>
          </cell>
          <cell r="F16" t="str">
            <v>זיכוי ברכישה הבאה</v>
          </cell>
          <cell r="G16" t="str">
            <v>הנחה על הרכישה הבאה</v>
          </cell>
          <cell r="H16" t="str">
            <v>מוצר חינם</v>
          </cell>
          <cell r="I16" t="str">
            <v>זיכוי ברכישה הבאה</v>
          </cell>
          <cell r="J16" t="str">
            <v>זיכוי ברכישה הבאה</v>
          </cell>
          <cell r="K16" t="str">
            <v>מוצר חינם</v>
          </cell>
          <cell r="L16" t="str">
            <v>זיכוי ברכישה הבאה</v>
          </cell>
          <cell r="M16" t="str">
            <v>אין הטבה</v>
          </cell>
          <cell r="Q16" t="str">
            <v>ירושלים</v>
          </cell>
          <cell r="R16">
            <v>10</v>
          </cell>
        </row>
        <row r="17">
          <cell r="A17" t="str">
            <v>רבעון 4</v>
          </cell>
          <cell r="B17" t="str">
            <v>מוצר חינם</v>
          </cell>
          <cell r="C17" t="str">
            <v>הנחה על הרכישה הבאה</v>
          </cell>
          <cell r="D17" t="str">
            <v>זיכוי ברכישה הבאה</v>
          </cell>
          <cell r="E17" t="str">
            <v>זיכוי ברכישה הבאה</v>
          </cell>
          <cell r="F17" t="str">
            <v>הנחה על הרכישה הבאה</v>
          </cell>
          <cell r="G17" t="str">
            <v>מוצר חינם</v>
          </cell>
          <cell r="H17" t="str">
            <v>זיכוי ברכישה הבאה</v>
          </cell>
          <cell r="I17" t="str">
            <v>אין הטבה</v>
          </cell>
          <cell r="J17" t="str">
            <v>זיכוי ברכישה הבאה</v>
          </cell>
          <cell r="K17" t="str">
            <v>אין הטבה</v>
          </cell>
          <cell r="L17" t="str">
            <v>זיכוי ברכישה הבאה</v>
          </cell>
          <cell r="M17" t="str">
            <v>מוצר חינם</v>
          </cell>
          <cell r="Q17" t="str">
            <v>חיפה</v>
          </cell>
          <cell r="R17">
            <v>11</v>
          </cell>
        </row>
        <row r="18">
          <cell r="Q18" t="str">
            <v>באר שבע</v>
          </cell>
          <cell r="R18">
            <v>12</v>
          </cell>
        </row>
        <row r="19">
          <cell r="Q19" t="str">
            <v>קרית אתא</v>
          </cell>
          <cell r="R19">
            <v>13</v>
          </cell>
        </row>
      </sheetData>
      <sheetData sheetId="1"/>
      <sheetData sheetId="2"/>
      <sheetData sheetId="3"/>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נתונים נוספים"/>
      <sheetName val="השקעות"/>
      <sheetName val="סך השקעה לכל חודש"/>
      <sheetName val="סינון"/>
      <sheetName val="מחקר"/>
      <sheetName val="ניתוח"/>
    </sheetNames>
    <sheetDataSet>
      <sheetData sheetId="0">
        <row r="4">
          <cell r="A4" t="str">
            <v>קרן השקעה</v>
          </cell>
          <cell r="B4" t="str">
            <v>שכיר</v>
          </cell>
          <cell r="C4" t="str">
            <v>עצמאי</v>
          </cell>
          <cell r="D4" t="str">
            <v>בעל שליטה</v>
          </cell>
          <cell r="F4" t="str">
            <v>שכיר</v>
          </cell>
          <cell r="G4">
            <v>2</v>
          </cell>
        </row>
        <row r="5">
          <cell r="A5">
            <v>10</v>
          </cell>
          <cell r="B5">
            <v>0.15</v>
          </cell>
          <cell r="C5">
            <v>0.15</v>
          </cell>
          <cell r="D5">
            <v>0.1</v>
          </cell>
          <cell r="F5" t="str">
            <v>עצמאי</v>
          </cell>
          <cell r="G5">
            <v>3</v>
          </cell>
        </row>
        <row r="6">
          <cell r="A6">
            <v>13</v>
          </cell>
          <cell r="B6">
            <v>0.23</v>
          </cell>
          <cell r="C6">
            <v>0.215</v>
          </cell>
          <cell r="D6">
            <v>0.215</v>
          </cell>
          <cell r="F6" t="str">
            <v>בעל שליטה</v>
          </cell>
          <cell r="G6">
            <v>4</v>
          </cell>
        </row>
        <row r="7">
          <cell r="A7">
            <v>14</v>
          </cell>
          <cell r="B7">
            <v>0.16</v>
          </cell>
          <cell r="C7">
            <v>0.15</v>
          </cell>
          <cell r="D7">
            <v>0.23</v>
          </cell>
        </row>
        <row r="8">
          <cell r="A8">
            <v>15</v>
          </cell>
          <cell r="B8">
            <v>0.215</v>
          </cell>
          <cell r="C8">
            <v>0.1</v>
          </cell>
          <cell r="D8">
            <v>0.25</v>
          </cell>
        </row>
        <row r="9">
          <cell r="A9">
            <v>12</v>
          </cell>
          <cell r="B9">
            <v>0.1</v>
          </cell>
          <cell r="C9">
            <v>0.15</v>
          </cell>
          <cell r="D9">
            <v>0.23</v>
          </cell>
        </row>
      </sheetData>
      <sheetData sheetId="1"/>
      <sheetData sheetId="2" refreshError="1"/>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נתוני עזר"/>
      <sheetName val="תושבים"/>
      <sheetName val="התפלגות מתנות"/>
      <sheetName val="עדכון מס הכנסה"/>
      <sheetName val="דו&quot;ח להנהלה"/>
    </sheetNames>
    <sheetDataSet>
      <sheetData sheetId="0">
        <row r="4">
          <cell r="A4" t="str">
            <v>ירושלים</v>
          </cell>
          <cell r="C4" t="str">
            <v>מרכז</v>
          </cell>
        </row>
        <row r="5">
          <cell r="A5" t="str">
            <v>אשדוד</v>
          </cell>
          <cell r="C5" t="str">
            <v>דרום</v>
          </cell>
        </row>
        <row r="6">
          <cell r="A6" t="str">
            <v>פתח תקוה</v>
          </cell>
          <cell r="C6" t="str">
            <v>מרכז</v>
          </cell>
        </row>
        <row r="7">
          <cell r="A7" t="str">
            <v>נהריה</v>
          </cell>
          <cell r="C7" t="str">
            <v>צפון</v>
          </cell>
        </row>
        <row r="8">
          <cell r="A8" t="str">
            <v>חולון</v>
          </cell>
          <cell r="C8" t="str">
            <v>מרכז</v>
          </cell>
        </row>
        <row r="9">
          <cell r="A9" t="str">
            <v>חיפה</v>
          </cell>
          <cell r="C9" t="str">
            <v>צפון</v>
          </cell>
        </row>
        <row r="10">
          <cell r="A10" t="str">
            <v>ראשון לציון</v>
          </cell>
          <cell r="C10" t="str">
            <v>מרכז</v>
          </cell>
        </row>
        <row r="11">
          <cell r="A11" t="str">
            <v>תל-אביב יפו</v>
          </cell>
          <cell r="C11" t="str">
            <v>מרכז</v>
          </cell>
        </row>
      </sheetData>
      <sheetData sheetId="1"/>
      <sheetData sheetId="2" refreshError="1"/>
      <sheetData sheetId="3"/>
      <sheetData sheetId="4"/>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23T21:52:41.857"/>
    </inkml:context>
    <inkml:brush xml:id="br0">
      <inkml:brushProperty name="width" value="0.05" units="cm"/>
      <inkml:brushProperty name="height" value="0.05" units="cm"/>
      <inkml:brushProperty name="color" value="#F6630D"/>
    </inkml:brush>
  </inkml:definitions>
  <inkml:trace contextRef="#ctx0" brushRef="#br0">0 4 24575,'4'-4'0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23T21:52:42.28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23T21:52:42.61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9C9A4-7430-45FE-BCE7-C654CEB07BD5}">
  <dimension ref="AC110"/>
  <sheetViews>
    <sheetView rightToLeft="1" topLeftCell="A121" zoomScale="70" zoomScaleNormal="70" workbookViewId="0">
      <selection activeCell="AC164" sqref="AC164"/>
    </sheetView>
  </sheetViews>
  <sheetFormatPr defaultRowHeight="13.8" x14ac:dyDescent="0.25"/>
  <sheetData>
    <row r="110" spans="29:29" x14ac:dyDescent="0.25">
      <c r="AC110" t="s">
        <v>374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6134F-87F5-4289-87E7-29D332ACC8E3}">
  <dimension ref="A1:B1"/>
  <sheetViews>
    <sheetView rightToLeft="1" workbookViewId="0">
      <selection activeCell="B1" sqref="A1:B1"/>
    </sheetView>
  </sheetViews>
  <sheetFormatPr defaultRowHeight="13.8" x14ac:dyDescent="0.25"/>
  <sheetData>
    <row r="1" spans="1:2" ht="31.2" x14ac:dyDescent="0.25">
      <c r="A1" s="295" t="s">
        <v>35</v>
      </c>
      <c r="B1" s="295" t="s">
        <v>37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2E6A1-E908-43FF-A6D0-01A32CA582A7}">
  <dimension ref="A1:B1"/>
  <sheetViews>
    <sheetView rightToLeft="1" workbookViewId="0">
      <selection activeCell="C41" sqref="C41"/>
    </sheetView>
  </sheetViews>
  <sheetFormatPr defaultRowHeight="13.8" x14ac:dyDescent="0.25"/>
  <sheetData>
    <row r="1" spans="1:2" ht="15.6" x14ac:dyDescent="0.25">
      <c r="A1" s="67"/>
      <c r="B1" s="6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3C00-701B-4254-9E45-CBCFD3597511}">
  <dimension ref="A1:AD58"/>
  <sheetViews>
    <sheetView rightToLeft="1" zoomScale="85" zoomScaleNormal="85" workbookViewId="0">
      <selection activeCell="W21" sqref="W21"/>
    </sheetView>
  </sheetViews>
  <sheetFormatPr defaultRowHeight="13.8" x14ac:dyDescent="0.25"/>
  <cols>
    <col min="1" max="1" width="8" bestFit="1" customWidth="1"/>
    <col min="2" max="2" width="11" bestFit="1" customWidth="1"/>
    <col min="3" max="3" width="9.19921875" bestFit="1" customWidth="1"/>
    <col min="5" max="5" width="9.296875" bestFit="1" customWidth="1"/>
    <col min="6" max="6" width="8.69921875" bestFit="1" customWidth="1"/>
    <col min="12" max="12" width="9.19921875" bestFit="1" customWidth="1"/>
    <col min="13" max="13" width="9.8984375" bestFit="1" customWidth="1"/>
    <col min="23" max="23" width="12.8984375" bestFit="1" customWidth="1"/>
  </cols>
  <sheetData>
    <row r="1" spans="1:30" ht="26.4" x14ac:dyDescent="0.25">
      <c r="A1" s="210" t="s">
        <v>275</v>
      </c>
      <c r="B1" s="210" t="s">
        <v>276</v>
      </c>
      <c r="C1" s="340" t="s">
        <v>39</v>
      </c>
      <c r="D1" s="210" t="s">
        <v>246</v>
      </c>
      <c r="E1" s="340" t="s">
        <v>277</v>
      </c>
      <c r="F1" s="210" t="s">
        <v>278</v>
      </c>
      <c r="G1" s="340" t="s">
        <v>349</v>
      </c>
      <c r="X1" s="219"/>
      <c r="Y1" s="219"/>
      <c r="Z1" s="219"/>
    </row>
    <row r="2" spans="1:30" x14ac:dyDescent="0.25">
      <c r="A2" s="211">
        <v>1304</v>
      </c>
      <c r="B2" s="212" t="s">
        <v>279</v>
      </c>
      <c r="C2" s="213" t="s">
        <v>82</v>
      </c>
      <c r="D2" s="214">
        <v>28889.033680555556</v>
      </c>
      <c r="E2" s="213" t="s">
        <v>280</v>
      </c>
      <c r="F2" s="215">
        <v>19774</v>
      </c>
      <c r="G2" s="221">
        <f ca="1">YEAR(TODAY())-YEAR(D2)</f>
        <v>45</v>
      </c>
      <c r="X2" s="213"/>
      <c r="Y2" s="213"/>
    </row>
    <row r="3" spans="1:30" x14ac:dyDescent="0.25">
      <c r="A3" s="211">
        <v>1333</v>
      </c>
      <c r="B3" s="212" t="s">
        <v>281</v>
      </c>
      <c r="C3" s="213" t="s">
        <v>282</v>
      </c>
      <c r="D3" s="214">
        <v>30017.130525706405</v>
      </c>
      <c r="E3" s="213" t="s">
        <v>283</v>
      </c>
      <c r="F3" s="215">
        <v>11506</v>
      </c>
      <c r="G3" s="221">
        <f t="shared" ref="G3:G58" ca="1" si="0">YEAR(TODAY())-YEAR(D3)</f>
        <v>42</v>
      </c>
      <c r="X3" s="213"/>
      <c r="Y3" s="213"/>
    </row>
    <row r="4" spans="1:30" x14ac:dyDescent="0.25">
      <c r="A4" s="211">
        <v>1406</v>
      </c>
      <c r="B4" s="212" t="s">
        <v>284</v>
      </c>
      <c r="C4" s="213" t="s">
        <v>56</v>
      </c>
      <c r="D4" s="214">
        <v>20941</v>
      </c>
      <c r="E4" s="213" t="s">
        <v>285</v>
      </c>
      <c r="F4" s="215">
        <v>17310</v>
      </c>
      <c r="G4" s="221">
        <f t="shared" ca="1" si="0"/>
        <v>67</v>
      </c>
      <c r="X4" s="213"/>
      <c r="Y4" s="213"/>
    </row>
    <row r="5" spans="1:30" x14ac:dyDescent="0.25">
      <c r="A5" s="211">
        <v>1407</v>
      </c>
      <c r="B5" s="212" t="s">
        <v>286</v>
      </c>
      <c r="C5" s="213" t="s">
        <v>287</v>
      </c>
      <c r="D5" s="214">
        <v>31929.944282407407</v>
      </c>
      <c r="E5" s="213" t="s">
        <v>288</v>
      </c>
      <c r="F5" s="215">
        <v>17310</v>
      </c>
      <c r="G5" s="221">
        <f t="shared" ca="1" si="0"/>
        <v>37</v>
      </c>
      <c r="X5" s="213"/>
      <c r="Y5" s="213"/>
    </row>
    <row r="6" spans="1:30" x14ac:dyDescent="0.25">
      <c r="A6" s="211">
        <v>1935</v>
      </c>
      <c r="B6" s="212" t="s">
        <v>289</v>
      </c>
      <c r="C6" s="213" t="s">
        <v>282</v>
      </c>
      <c r="D6" s="214">
        <v>18948</v>
      </c>
      <c r="E6" s="213" t="s">
        <v>290</v>
      </c>
      <c r="F6" s="215">
        <v>19148</v>
      </c>
      <c r="G6" s="221">
        <f t="shared" ca="1" si="0"/>
        <v>73</v>
      </c>
      <c r="AA6" s="162"/>
      <c r="AB6" s="162"/>
      <c r="AC6" s="162"/>
      <c r="AD6" s="162"/>
    </row>
    <row r="7" spans="1:30" x14ac:dyDescent="0.25">
      <c r="A7" s="211">
        <v>2060</v>
      </c>
      <c r="B7" s="212" t="s">
        <v>291</v>
      </c>
      <c r="C7" s="213" t="s">
        <v>60</v>
      </c>
      <c r="D7" s="214">
        <v>19019</v>
      </c>
      <c r="E7" s="213" t="s">
        <v>280</v>
      </c>
      <c r="F7" s="215">
        <v>11659</v>
      </c>
      <c r="G7" s="221">
        <f t="shared" ca="1" si="0"/>
        <v>72</v>
      </c>
      <c r="AA7" s="219"/>
      <c r="AB7" s="219"/>
      <c r="AC7" s="219"/>
      <c r="AD7" s="219"/>
    </row>
    <row r="8" spans="1:30" x14ac:dyDescent="0.25">
      <c r="A8" s="211">
        <v>2147</v>
      </c>
      <c r="B8" s="212" t="s">
        <v>292</v>
      </c>
      <c r="C8" s="213" t="s">
        <v>293</v>
      </c>
      <c r="D8" s="214">
        <v>30461</v>
      </c>
      <c r="E8" s="213" t="s">
        <v>285</v>
      </c>
      <c r="F8" s="215">
        <v>25802</v>
      </c>
      <c r="G8" s="221">
        <f t="shared" ca="1" si="0"/>
        <v>41</v>
      </c>
      <c r="W8" t="s">
        <v>395</v>
      </c>
      <c r="AA8" s="162"/>
      <c r="AB8" s="220"/>
      <c r="AC8" s="162"/>
      <c r="AD8" s="162"/>
    </row>
    <row r="9" spans="1:30" x14ac:dyDescent="0.25">
      <c r="A9" s="211">
        <v>2309</v>
      </c>
      <c r="B9" s="212" t="s">
        <v>294</v>
      </c>
      <c r="C9" s="213" t="s">
        <v>82</v>
      </c>
      <c r="D9" s="214">
        <v>23415</v>
      </c>
      <c r="E9" s="213" t="s">
        <v>295</v>
      </c>
      <c r="F9" s="215">
        <v>24096</v>
      </c>
      <c r="G9" s="221">
        <f t="shared" ca="1" si="0"/>
        <v>60</v>
      </c>
      <c r="V9" s="340" t="s">
        <v>277</v>
      </c>
      <c r="W9" s="340" t="s">
        <v>39</v>
      </c>
      <c r="X9" s="340" t="s">
        <v>349</v>
      </c>
      <c r="Y9" s="340" t="s">
        <v>349</v>
      </c>
      <c r="AA9" s="162"/>
      <c r="AB9" s="220"/>
      <c r="AC9" s="162"/>
      <c r="AD9" s="162"/>
    </row>
    <row r="10" spans="1:30" x14ac:dyDescent="0.25">
      <c r="A10" s="211">
        <v>2361</v>
      </c>
      <c r="B10" s="212" t="s">
        <v>296</v>
      </c>
      <c r="C10" s="213" t="s">
        <v>282</v>
      </c>
      <c r="D10" s="214">
        <v>30293</v>
      </c>
      <c r="E10" s="213" t="s">
        <v>297</v>
      </c>
      <c r="F10" s="215">
        <v>4650</v>
      </c>
      <c r="G10" s="221">
        <f t="shared" ca="1" si="0"/>
        <v>42</v>
      </c>
      <c r="V10" t="s">
        <v>280</v>
      </c>
      <c r="W10" s="213" t="s">
        <v>293</v>
      </c>
      <c r="X10" t="s">
        <v>397</v>
      </c>
      <c r="Y10" t="s">
        <v>396</v>
      </c>
      <c r="AA10" s="162"/>
      <c r="AB10" s="220"/>
      <c r="AC10" s="162"/>
      <c r="AD10" s="162"/>
    </row>
    <row r="11" spans="1:30" x14ac:dyDescent="0.25">
      <c r="A11" s="211">
        <v>3074</v>
      </c>
      <c r="B11" s="212" t="s">
        <v>298</v>
      </c>
      <c r="C11" s="216" t="s">
        <v>101</v>
      </c>
      <c r="D11" s="214">
        <v>21078</v>
      </c>
      <c r="E11" s="213" t="s">
        <v>280</v>
      </c>
      <c r="F11" s="215">
        <v>13765</v>
      </c>
      <c r="G11" s="221">
        <f t="shared" ca="1" si="0"/>
        <v>67</v>
      </c>
      <c r="V11" t="s">
        <v>280</v>
      </c>
      <c r="W11" s="213" t="s">
        <v>287</v>
      </c>
      <c r="X11" t="s">
        <v>397</v>
      </c>
      <c r="Y11" t="s">
        <v>396</v>
      </c>
      <c r="AB11" s="213"/>
    </row>
    <row r="12" spans="1:30" x14ac:dyDescent="0.25">
      <c r="A12" s="211">
        <v>3090</v>
      </c>
      <c r="B12" s="212" t="s">
        <v>299</v>
      </c>
      <c r="C12" s="213" t="s">
        <v>300</v>
      </c>
      <c r="D12" s="214">
        <v>21247</v>
      </c>
      <c r="E12" s="213" t="s">
        <v>47</v>
      </c>
      <c r="F12" s="215">
        <v>10173</v>
      </c>
      <c r="G12" s="221">
        <f t="shared" ca="1" si="0"/>
        <v>66</v>
      </c>
      <c r="V12" t="s">
        <v>288</v>
      </c>
      <c r="W12" s="213" t="s">
        <v>293</v>
      </c>
      <c r="X12" t="s">
        <v>397</v>
      </c>
      <c r="Y12" t="s">
        <v>396</v>
      </c>
      <c r="AB12" s="213"/>
    </row>
    <row r="13" spans="1:30" x14ac:dyDescent="0.25">
      <c r="A13" s="211">
        <v>3145</v>
      </c>
      <c r="B13" s="212" t="s">
        <v>301</v>
      </c>
      <c r="C13" s="213" t="s">
        <v>293</v>
      </c>
      <c r="D13" s="214">
        <v>30273</v>
      </c>
      <c r="E13" s="213" t="s">
        <v>302</v>
      </c>
      <c r="F13" s="215">
        <v>6902</v>
      </c>
      <c r="G13" s="221">
        <f t="shared" ca="1" si="0"/>
        <v>42</v>
      </c>
      <c r="V13" t="s">
        <v>288</v>
      </c>
      <c r="W13" s="213" t="s">
        <v>287</v>
      </c>
      <c r="X13" t="s">
        <v>397</v>
      </c>
      <c r="Y13" t="s">
        <v>396</v>
      </c>
      <c r="AB13" s="213"/>
    </row>
    <row r="14" spans="1:30" x14ac:dyDescent="0.25">
      <c r="A14" s="211">
        <v>3156</v>
      </c>
      <c r="B14" s="212" t="s">
        <v>303</v>
      </c>
      <c r="C14" s="213" t="s">
        <v>82</v>
      </c>
      <c r="D14" s="214">
        <v>32146</v>
      </c>
      <c r="E14" s="213" t="s">
        <v>304</v>
      </c>
      <c r="F14" s="215">
        <v>19171</v>
      </c>
      <c r="G14" s="221">
        <f t="shared" ca="1" si="0"/>
        <v>36</v>
      </c>
      <c r="V14" t="s">
        <v>47</v>
      </c>
      <c r="W14" s="213" t="s">
        <v>293</v>
      </c>
      <c r="X14" t="s">
        <v>397</v>
      </c>
      <c r="Y14" t="s">
        <v>396</v>
      </c>
    </row>
    <row r="15" spans="1:30" x14ac:dyDescent="0.25">
      <c r="A15" s="211">
        <v>3160</v>
      </c>
      <c r="B15" s="212" t="s">
        <v>305</v>
      </c>
      <c r="C15" s="216" t="s">
        <v>101</v>
      </c>
      <c r="D15" s="214">
        <v>27838</v>
      </c>
      <c r="E15" s="213" t="s">
        <v>290</v>
      </c>
      <c r="F15" s="215">
        <v>29918</v>
      </c>
      <c r="G15" s="221">
        <f t="shared" ca="1" si="0"/>
        <v>48</v>
      </c>
      <c r="V15" t="s">
        <v>47</v>
      </c>
      <c r="W15" s="213" t="s">
        <v>287</v>
      </c>
      <c r="X15" t="s">
        <v>397</v>
      </c>
      <c r="Y15" t="s">
        <v>396</v>
      </c>
    </row>
    <row r="16" spans="1:30" x14ac:dyDescent="0.25">
      <c r="A16" s="211">
        <v>3298</v>
      </c>
      <c r="B16" s="212" t="s">
        <v>306</v>
      </c>
      <c r="C16" s="213" t="s">
        <v>287</v>
      </c>
      <c r="D16" s="214">
        <v>21511</v>
      </c>
      <c r="E16" s="213" t="s">
        <v>304</v>
      </c>
      <c r="F16" s="215">
        <v>10665</v>
      </c>
      <c r="G16" s="221">
        <f t="shared" ca="1" si="0"/>
        <v>66</v>
      </c>
      <c r="I16" s="210"/>
    </row>
    <row r="17" spans="1:30" x14ac:dyDescent="0.25">
      <c r="A17" s="211">
        <v>3490</v>
      </c>
      <c r="B17" s="212" t="s">
        <v>307</v>
      </c>
      <c r="C17" s="213" t="s">
        <v>101</v>
      </c>
      <c r="D17" s="214">
        <v>28374</v>
      </c>
      <c r="E17" s="213" t="s">
        <v>304</v>
      </c>
      <c r="F17" s="215">
        <v>15631</v>
      </c>
      <c r="G17" s="221">
        <f t="shared" ca="1" si="0"/>
        <v>47</v>
      </c>
      <c r="K17" s="162"/>
      <c r="L17" s="162"/>
      <c r="M17" s="162"/>
      <c r="N17" s="162"/>
      <c r="O17" s="162"/>
      <c r="P17" s="162"/>
    </row>
    <row r="18" spans="1:30" x14ac:dyDescent="0.25">
      <c r="A18" s="211">
        <v>3951</v>
      </c>
      <c r="B18" s="212" t="s">
        <v>308</v>
      </c>
      <c r="C18" s="213" t="s">
        <v>60</v>
      </c>
      <c r="D18" s="214">
        <v>17621</v>
      </c>
      <c r="E18" s="213" t="s">
        <v>285</v>
      </c>
      <c r="F18" s="215">
        <v>29169</v>
      </c>
      <c r="G18" s="221">
        <f t="shared" ca="1" si="0"/>
        <v>76</v>
      </c>
      <c r="K18" s="162"/>
      <c r="L18" s="162"/>
      <c r="M18" s="162"/>
      <c r="N18" s="162"/>
      <c r="O18" s="162"/>
      <c r="P18" s="162"/>
    </row>
    <row r="19" spans="1:30" x14ac:dyDescent="0.25">
      <c r="A19" s="211">
        <v>3981</v>
      </c>
      <c r="B19" s="212" t="s">
        <v>309</v>
      </c>
      <c r="C19" s="213" t="s">
        <v>293</v>
      </c>
      <c r="D19" s="214">
        <v>32113</v>
      </c>
      <c r="E19" s="213" t="s">
        <v>295</v>
      </c>
      <c r="F19" s="215">
        <v>30842</v>
      </c>
      <c r="G19" s="221">
        <f t="shared" ca="1" si="0"/>
        <v>37</v>
      </c>
      <c r="K19" s="219"/>
      <c r="L19" s="219"/>
      <c r="M19" s="219"/>
      <c r="N19" s="219"/>
      <c r="O19" s="162"/>
      <c r="P19" s="162"/>
    </row>
    <row r="20" spans="1:30" x14ac:dyDescent="0.25">
      <c r="A20" s="211">
        <v>4087</v>
      </c>
      <c r="B20" s="212" t="s">
        <v>310</v>
      </c>
      <c r="C20" s="213" t="s">
        <v>82</v>
      </c>
      <c r="D20" s="214">
        <v>28785</v>
      </c>
      <c r="E20" s="213" t="s">
        <v>283</v>
      </c>
      <c r="F20" s="215">
        <v>24072</v>
      </c>
      <c r="G20" s="221">
        <f t="shared" ca="1" si="0"/>
        <v>46</v>
      </c>
      <c r="K20" s="162"/>
      <c r="L20" s="220"/>
      <c r="M20" s="162"/>
      <c r="N20" s="162"/>
      <c r="O20" s="162"/>
      <c r="P20" s="162"/>
    </row>
    <row r="21" spans="1:30" ht="28.8" x14ac:dyDescent="0.55000000000000004">
      <c r="A21" s="211">
        <v>4191</v>
      </c>
      <c r="B21" s="212" t="s">
        <v>311</v>
      </c>
      <c r="C21" s="213" t="s">
        <v>287</v>
      </c>
      <c r="D21" s="214">
        <v>27063</v>
      </c>
      <c r="E21" s="213" t="s">
        <v>288</v>
      </c>
      <c r="F21" s="215">
        <v>18631</v>
      </c>
      <c r="G21" s="221">
        <f t="shared" ca="1" si="0"/>
        <v>50</v>
      </c>
      <c r="I21" s="314" t="s">
        <v>241</v>
      </c>
      <c r="J21" s="314"/>
      <c r="K21" s="314"/>
      <c r="L21" s="314"/>
      <c r="M21" s="314"/>
      <c r="N21" s="314"/>
      <c r="O21" s="315"/>
      <c r="P21" s="316"/>
      <c r="Q21" s="316"/>
      <c r="R21" s="316"/>
      <c r="S21" s="316"/>
      <c r="T21" s="106"/>
      <c r="U21" s="106"/>
      <c r="V21" s="105"/>
      <c r="W21" s="162"/>
      <c r="X21" s="162"/>
      <c r="Y21" s="162"/>
      <c r="Z21" s="162"/>
      <c r="AA21" s="162"/>
      <c r="AB21" s="162"/>
    </row>
    <row r="22" spans="1:30" ht="28.8" x14ac:dyDescent="0.55000000000000004">
      <c r="A22" s="211">
        <v>4198</v>
      </c>
      <c r="B22" s="212" t="s">
        <v>312</v>
      </c>
      <c r="C22" s="213" t="s">
        <v>282</v>
      </c>
      <c r="D22" s="214">
        <v>23072</v>
      </c>
      <c r="E22" s="213" t="s">
        <v>304</v>
      </c>
      <c r="F22" s="215">
        <v>17510</v>
      </c>
      <c r="G22" s="221">
        <f t="shared" ca="1" si="0"/>
        <v>61</v>
      </c>
      <c r="I22" s="314" t="s">
        <v>372</v>
      </c>
      <c r="J22" s="314"/>
      <c r="K22" s="314"/>
      <c r="L22" s="314"/>
      <c r="M22" s="314"/>
      <c r="N22" s="314"/>
      <c r="O22" s="316"/>
      <c r="P22" s="316"/>
      <c r="Q22" s="316"/>
      <c r="R22" s="316"/>
      <c r="S22" s="316"/>
      <c r="T22" s="106"/>
      <c r="U22" s="106"/>
      <c r="V22" s="105"/>
      <c r="W22" s="162"/>
      <c r="X22" s="162"/>
      <c r="Y22" s="162"/>
      <c r="Z22" s="162"/>
      <c r="AA22" s="162"/>
      <c r="AB22" s="162"/>
    </row>
    <row r="23" spans="1:30" ht="32.4" customHeight="1" x14ac:dyDescent="0.55000000000000004">
      <c r="A23" s="211">
        <v>4256</v>
      </c>
      <c r="B23" s="212" t="s">
        <v>313</v>
      </c>
      <c r="C23" s="213" t="s">
        <v>293</v>
      </c>
      <c r="D23" s="214">
        <v>24738</v>
      </c>
      <c r="E23" s="213" t="s">
        <v>280</v>
      </c>
      <c r="F23" s="215">
        <v>8277</v>
      </c>
      <c r="G23" s="221">
        <f t="shared" ca="1" si="0"/>
        <v>57</v>
      </c>
      <c r="I23" s="342" t="s">
        <v>373</v>
      </c>
      <c r="J23" s="342"/>
      <c r="K23" s="342"/>
      <c r="L23" s="343"/>
      <c r="M23" s="342"/>
      <c r="N23" s="342"/>
      <c r="O23" s="342"/>
      <c r="P23" s="341"/>
      <c r="Q23" s="314"/>
      <c r="R23" s="314"/>
      <c r="S23" s="314"/>
      <c r="T23" s="105"/>
      <c r="U23" s="105"/>
      <c r="V23" s="105"/>
      <c r="W23" s="162"/>
      <c r="X23" s="162"/>
      <c r="Y23" s="162"/>
      <c r="Z23" s="162"/>
      <c r="AA23" s="162"/>
      <c r="AB23" s="162"/>
    </row>
    <row r="24" spans="1:30" ht="22.8" x14ac:dyDescent="0.4">
      <c r="A24" s="211">
        <v>4314</v>
      </c>
      <c r="B24" s="212" t="s">
        <v>314</v>
      </c>
      <c r="C24" s="213" t="s">
        <v>293</v>
      </c>
      <c r="D24" s="214">
        <v>27382</v>
      </c>
      <c r="E24" s="213" t="s">
        <v>285</v>
      </c>
      <c r="F24" s="215">
        <v>21798</v>
      </c>
      <c r="G24" s="221">
        <f t="shared" ca="1" si="0"/>
        <v>50</v>
      </c>
      <c r="I24" s="342" t="s">
        <v>365</v>
      </c>
      <c r="J24" s="342"/>
      <c r="K24" s="342"/>
      <c r="L24" s="343"/>
      <c r="M24" s="342"/>
      <c r="N24" s="342"/>
      <c r="O24" s="342"/>
      <c r="P24" s="342"/>
    </row>
    <row r="25" spans="1:30" ht="22.8" x14ac:dyDescent="0.4">
      <c r="A25" s="211">
        <v>4475</v>
      </c>
      <c r="B25" s="212" t="s">
        <v>315</v>
      </c>
      <c r="C25" s="213" t="s">
        <v>287</v>
      </c>
      <c r="D25" s="214">
        <v>32526</v>
      </c>
      <c r="E25" s="213" t="s">
        <v>295</v>
      </c>
      <c r="F25" s="215">
        <v>28794</v>
      </c>
      <c r="G25" s="221">
        <f t="shared" ca="1" si="0"/>
        <v>35</v>
      </c>
      <c r="I25" s="342"/>
      <c r="J25" s="342"/>
      <c r="K25" s="342"/>
      <c r="L25" s="342"/>
      <c r="M25" s="342"/>
      <c r="N25" s="342"/>
      <c r="O25" s="342"/>
      <c r="P25" s="342"/>
    </row>
    <row r="26" spans="1:30" x14ac:dyDescent="0.25">
      <c r="A26" s="211">
        <v>4498</v>
      </c>
      <c r="B26" s="212" t="s">
        <v>316</v>
      </c>
      <c r="C26" s="216" t="s">
        <v>101</v>
      </c>
      <c r="D26" s="214">
        <v>29024</v>
      </c>
      <c r="E26" s="213" t="s">
        <v>295</v>
      </c>
      <c r="F26" s="215">
        <v>32123</v>
      </c>
      <c r="G26" s="221">
        <f t="shared" ca="1" si="0"/>
        <v>45</v>
      </c>
      <c r="K26" s="162"/>
      <c r="L26" s="162"/>
      <c r="M26" s="162"/>
      <c r="N26" s="162"/>
      <c r="O26" s="162"/>
      <c r="P26" s="162"/>
    </row>
    <row r="27" spans="1:30" x14ac:dyDescent="0.25">
      <c r="A27" s="211">
        <v>5087</v>
      </c>
      <c r="B27" s="212" t="s">
        <v>317</v>
      </c>
      <c r="C27" s="213" t="s">
        <v>82</v>
      </c>
      <c r="D27" s="214">
        <v>29181</v>
      </c>
      <c r="E27" s="213" t="s">
        <v>47</v>
      </c>
      <c r="F27" s="215">
        <v>27152</v>
      </c>
      <c r="G27" s="221">
        <f t="shared" ca="1" si="0"/>
        <v>45</v>
      </c>
      <c r="K27" s="162"/>
      <c r="L27" s="162"/>
      <c r="M27" s="162"/>
      <c r="N27" s="162"/>
      <c r="O27" s="162"/>
      <c r="P27" s="162"/>
    </row>
    <row r="28" spans="1:30" ht="14.4" thickBot="1" x14ac:dyDescent="0.3">
      <c r="A28" s="211">
        <v>5189</v>
      </c>
      <c r="B28" s="212" t="s">
        <v>318</v>
      </c>
      <c r="C28" s="213" t="s">
        <v>282</v>
      </c>
      <c r="D28" s="214">
        <v>27341</v>
      </c>
      <c r="E28" s="213" t="s">
        <v>297</v>
      </c>
      <c r="F28" s="215">
        <v>10391</v>
      </c>
      <c r="G28" s="221">
        <f t="shared" ca="1" si="0"/>
        <v>50</v>
      </c>
      <c r="K28" s="162"/>
      <c r="L28" s="162"/>
      <c r="M28" s="162"/>
      <c r="N28" s="162"/>
      <c r="O28" s="162"/>
      <c r="P28" s="162"/>
    </row>
    <row r="29" spans="1:30" ht="28.8" x14ac:dyDescent="0.55000000000000004">
      <c r="A29" s="211">
        <v>5446</v>
      </c>
      <c r="B29" s="212" t="s">
        <v>319</v>
      </c>
      <c r="C29" s="213" t="s">
        <v>82</v>
      </c>
      <c r="D29" s="214">
        <v>21576</v>
      </c>
      <c r="E29" s="213" t="s">
        <v>304</v>
      </c>
      <c r="F29" s="215">
        <v>20690</v>
      </c>
      <c r="G29" s="221">
        <f t="shared" ca="1" si="0"/>
        <v>65</v>
      </c>
      <c r="I29" s="319"/>
      <c r="J29" s="320" t="s">
        <v>367</v>
      </c>
      <c r="K29" s="320"/>
      <c r="L29" s="320"/>
      <c r="M29" s="320"/>
      <c r="N29" s="321"/>
      <c r="O29" s="321"/>
      <c r="P29" s="321"/>
      <c r="Q29" s="321"/>
      <c r="R29" s="321"/>
      <c r="S29" s="321"/>
      <c r="T29" s="321"/>
      <c r="U29" s="322"/>
      <c r="V29" s="322"/>
      <c r="W29" s="322"/>
      <c r="X29" s="329"/>
      <c r="Y29" s="329"/>
      <c r="Z29" s="329"/>
      <c r="AA29" s="329"/>
      <c r="AB29" s="329"/>
      <c r="AC29" s="329"/>
      <c r="AD29" s="330"/>
    </row>
    <row r="30" spans="1:30" ht="28.8" x14ac:dyDescent="0.55000000000000004">
      <c r="A30" s="211">
        <v>5529</v>
      </c>
      <c r="B30" s="212" t="s">
        <v>320</v>
      </c>
      <c r="C30" s="213" t="s">
        <v>293</v>
      </c>
      <c r="D30" s="214">
        <v>23603</v>
      </c>
      <c r="E30" s="213" t="s">
        <v>47</v>
      </c>
      <c r="F30" s="215">
        <v>10265</v>
      </c>
      <c r="G30" s="221">
        <f t="shared" ca="1" si="0"/>
        <v>60</v>
      </c>
      <c r="I30" s="323"/>
      <c r="J30" s="298"/>
      <c r="K30" s="298"/>
      <c r="L30" s="298"/>
      <c r="M30" s="306"/>
      <c r="N30" s="324"/>
      <c r="O30" s="324"/>
      <c r="P30" s="324"/>
      <c r="Q30" s="324"/>
      <c r="R30" s="324"/>
      <c r="S30" s="324"/>
      <c r="T30" s="324"/>
      <c r="U30" s="254"/>
      <c r="V30" s="254"/>
      <c r="W30" s="254"/>
      <c r="X30" s="205"/>
      <c r="Y30" s="205"/>
      <c r="Z30" s="205"/>
      <c r="AA30" s="205"/>
      <c r="AB30" s="205"/>
      <c r="AC30" s="205"/>
      <c r="AD30" s="331"/>
    </row>
    <row r="31" spans="1:30" ht="28.8" x14ac:dyDescent="0.55000000000000004">
      <c r="A31" s="211">
        <v>5565</v>
      </c>
      <c r="B31" s="212" t="s">
        <v>321</v>
      </c>
      <c r="C31" s="213" t="s">
        <v>282</v>
      </c>
      <c r="D31" s="214">
        <v>26391</v>
      </c>
      <c r="E31" s="213" t="s">
        <v>302</v>
      </c>
      <c r="F31" s="215">
        <v>9733</v>
      </c>
      <c r="G31" s="221">
        <f t="shared" ca="1" si="0"/>
        <v>52</v>
      </c>
      <c r="I31" s="323"/>
      <c r="J31" s="306"/>
      <c r="K31" s="306"/>
      <c r="L31" s="306"/>
      <c r="M31" s="306"/>
      <c r="N31" s="324"/>
      <c r="O31" s="324"/>
      <c r="P31" s="324"/>
      <c r="Q31" s="324"/>
      <c r="R31" s="324"/>
      <c r="S31" s="324"/>
      <c r="T31" s="324"/>
      <c r="U31" s="254"/>
      <c r="V31" s="254"/>
      <c r="W31" s="254"/>
      <c r="X31" s="205"/>
      <c r="Y31" s="205"/>
      <c r="Z31" s="205"/>
      <c r="AA31" s="205"/>
      <c r="AB31" s="205"/>
      <c r="AC31" s="205"/>
      <c r="AD31" s="331"/>
    </row>
    <row r="32" spans="1:30" ht="28.8" x14ac:dyDescent="0.55000000000000004">
      <c r="A32" s="211">
        <v>5569</v>
      </c>
      <c r="B32" s="212" t="s">
        <v>322</v>
      </c>
      <c r="C32" s="213" t="s">
        <v>60</v>
      </c>
      <c r="D32" s="214">
        <v>27746</v>
      </c>
      <c r="E32" s="213" t="s">
        <v>304</v>
      </c>
      <c r="F32" s="215">
        <v>6005</v>
      </c>
      <c r="G32" s="221">
        <f t="shared" ca="1" si="0"/>
        <v>49</v>
      </c>
      <c r="I32" s="325">
        <v>1</v>
      </c>
      <c r="J32" s="324" t="s">
        <v>368</v>
      </c>
      <c r="K32" s="324"/>
      <c r="L32" s="324"/>
      <c r="M32" s="324"/>
      <c r="N32" s="324"/>
      <c r="O32" s="324"/>
      <c r="P32" s="324"/>
      <c r="Q32" s="324"/>
      <c r="R32" s="324"/>
      <c r="S32" s="324"/>
      <c r="T32" s="324"/>
      <c r="U32" s="254"/>
      <c r="V32" s="254"/>
      <c r="W32" s="254"/>
      <c r="X32" s="205"/>
      <c r="Y32" s="205"/>
      <c r="Z32" s="205"/>
      <c r="AA32" s="205"/>
      <c r="AB32" s="205"/>
      <c r="AC32" s="205"/>
      <c r="AD32" s="331"/>
    </row>
    <row r="33" spans="1:30" ht="28.8" x14ac:dyDescent="0.55000000000000004">
      <c r="A33" s="211">
        <v>5875</v>
      </c>
      <c r="B33" s="212" t="s">
        <v>323</v>
      </c>
      <c r="C33" s="213" t="s">
        <v>82</v>
      </c>
      <c r="D33" s="214">
        <v>30469</v>
      </c>
      <c r="E33" s="213" t="s">
        <v>280</v>
      </c>
      <c r="F33" s="215">
        <v>29187</v>
      </c>
      <c r="G33" s="221">
        <f t="shared" ca="1" si="0"/>
        <v>41</v>
      </c>
      <c r="I33" s="325"/>
      <c r="J33" s="324"/>
      <c r="K33" s="324"/>
      <c r="L33" s="324"/>
      <c r="M33" s="324"/>
      <c r="N33" s="324"/>
      <c r="O33" s="324"/>
      <c r="P33" s="324"/>
      <c r="Q33" s="324"/>
      <c r="R33" s="324"/>
      <c r="S33" s="324"/>
      <c r="T33" s="324"/>
      <c r="U33" s="254"/>
      <c r="V33" s="254"/>
      <c r="W33" s="254"/>
      <c r="X33" s="205"/>
      <c r="Y33" s="205"/>
      <c r="Z33" s="205"/>
      <c r="AA33" s="205"/>
      <c r="AB33" s="205"/>
      <c r="AC33" s="205"/>
      <c r="AD33" s="331"/>
    </row>
    <row r="34" spans="1:30" ht="28.8" x14ac:dyDescent="0.55000000000000004">
      <c r="A34" s="211">
        <v>6407</v>
      </c>
      <c r="B34" s="212" t="s">
        <v>324</v>
      </c>
      <c r="C34" s="213" t="s">
        <v>60</v>
      </c>
      <c r="D34" s="214">
        <v>29818</v>
      </c>
      <c r="E34" s="213" t="s">
        <v>302</v>
      </c>
      <c r="F34" s="215">
        <v>30765</v>
      </c>
      <c r="G34" s="221">
        <f t="shared" ca="1" si="0"/>
        <v>43</v>
      </c>
      <c r="I34" s="325">
        <v>2</v>
      </c>
      <c r="J34" s="324" t="s">
        <v>242</v>
      </c>
      <c r="K34" s="324"/>
      <c r="L34" s="324"/>
      <c r="M34" s="324"/>
      <c r="N34" s="324"/>
      <c r="O34" s="324"/>
      <c r="P34" s="324"/>
      <c r="Q34" s="324"/>
      <c r="R34" s="324"/>
      <c r="S34" s="324"/>
      <c r="T34" s="324"/>
      <c r="U34" s="254"/>
      <c r="V34" s="254"/>
      <c r="W34" s="254"/>
      <c r="X34" s="205"/>
      <c r="Y34" s="205"/>
      <c r="Z34" s="205"/>
      <c r="AA34" s="205"/>
      <c r="AB34" s="205"/>
      <c r="AC34" s="205"/>
      <c r="AD34" s="331"/>
    </row>
    <row r="35" spans="1:30" ht="28.8" x14ac:dyDescent="0.55000000000000004">
      <c r="A35" s="211">
        <v>6421</v>
      </c>
      <c r="B35" s="212" t="s">
        <v>325</v>
      </c>
      <c r="C35" s="213" t="s">
        <v>287</v>
      </c>
      <c r="D35" s="214">
        <v>30970</v>
      </c>
      <c r="E35" s="213" t="s">
        <v>290</v>
      </c>
      <c r="F35" s="215">
        <v>12110</v>
      </c>
      <c r="G35" s="221">
        <f t="shared" ca="1" si="0"/>
        <v>40</v>
      </c>
      <c r="I35" s="325"/>
      <c r="J35" s="324"/>
      <c r="K35" s="324"/>
      <c r="L35" s="324"/>
      <c r="M35" s="324"/>
      <c r="N35" s="324"/>
      <c r="O35" s="324"/>
      <c r="P35" s="324"/>
      <c r="Q35" s="324"/>
      <c r="R35" s="324"/>
      <c r="S35" s="324"/>
      <c r="T35" s="324"/>
      <c r="U35" s="254"/>
      <c r="V35" s="254"/>
      <c r="W35" s="254"/>
      <c r="X35" s="205"/>
      <c r="Y35" s="205"/>
      <c r="Z35" s="205"/>
      <c r="AA35" s="205"/>
      <c r="AB35" s="205"/>
      <c r="AC35" s="205"/>
      <c r="AD35" s="331"/>
    </row>
    <row r="36" spans="1:30" ht="29.4" thickBot="1" x14ac:dyDescent="0.6">
      <c r="A36" s="211">
        <v>6577</v>
      </c>
      <c r="B36" s="212" t="s">
        <v>326</v>
      </c>
      <c r="C36" s="213" t="s">
        <v>82</v>
      </c>
      <c r="D36" s="214">
        <v>27317</v>
      </c>
      <c r="E36" s="213" t="s">
        <v>283</v>
      </c>
      <c r="F36" s="215">
        <v>12810</v>
      </c>
      <c r="G36" s="221">
        <f t="shared" ca="1" si="0"/>
        <v>50</v>
      </c>
      <c r="I36" s="326">
        <v>3</v>
      </c>
      <c r="J36" s="327" t="s">
        <v>243</v>
      </c>
      <c r="K36" s="327"/>
      <c r="L36" s="327"/>
      <c r="M36" s="327"/>
      <c r="N36" s="327"/>
      <c r="O36" s="327"/>
      <c r="P36" s="327"/>
      <c r="Q36" s="327"/>
      <c r="R36" s="327"/>
      <c r="S36" s="327"/>
      <c r="T36" s="327"/>
      <c r="U36" s="328"/>
      <c r="V36" s="328"/>
      <c r="W36" s="328"/>
      <c r="X36" s="332"/>
      <c r="Y36" s="332"/>
      <c r="Z36" s="332"/>
      <c r="AA36" s="332"/>
      <c r="AB36" s="332"/>
      <c r="AC36" s="332"/>
      <c r="AD36" s="333"/>
    </row>
    <row r="37" spans="1:30" x14ac:dyDescent="0.25">
      <c r="A37" s="211">
        <v>6655</v>
      </c>
      <c r="B37" s="212" t="s">
        <v>327</v>
      </c>
      <c r="C37" s="213" t="s">
        <v>287</v>
      </c>
      <c r="D37" s="214">
        <v>29639</v>
      </c>
      <c r="E37" s="213" t="s">
        <v>288</v>
      </c>
      <c r="F37" s="215">
        <v>22455</v>
      </c>
      <c r="G37" s="221">
        <f t="shared" ca="1" si="0"/>
        <v>43</v>
      </c>
    </row>
    <row r="38" spans="1:30" x14ac:dyDescent="0.25">
      <c r="A38" s="211">
        <v>6812</v>
      </c>
      <c r="B38" s="212" t="s">
        <v>328</v>
      </c>
      <c r="C38" s="213" t="s">
        <v>282</v>
      </c>
      <c r="D38" s="214">
        <v>31001</v>
      </c>
      <c r="E38" s="213" t="s">
        <v>280</v>
      </c>
      <c r="F38" s="215">
        <v>13450</v>
      </c>
      <c r="G38" s="221">
        <f t="shared" ca="1" si="0"/>
        <v>40</v>
      </c>
    </row>
    <row r="39" spans="1:30" x14ac:dyDescent="0.25">
      <c r="A39" s="211">
        <v>7098</v>
      </c>
      <c r="B39" s="212" t="s">
        <v>329</v>
      </c>
      <c r="C39" s="213" t="s">
        <v>293</v>
      </c>
      <c r="D39" s="214">
        <v>30809</v>
      </c>
      <c r="E39" s="213" t="s">
        <v>290</v>
      </c>
      <c r="F39" s="215">
        <v>33788</v>
      </c>
      <c r="G39" s="221">
        <f t="shared" ca="1" si="0"/>
        <v>40</v>
      </c>
      <c r="M39" s="218"/>
      <c r="N39" s="162"/>
      <c r="O39" s="162"/>
    </row>
    <row r="40" spans="1:30" x14ac:dyDescent="0.25">
      <c r="A40" s="211">
        <v>7393</v>
      </c>
      <c r="B40" s="212" t="s">
        <v>330</v>
      </c>
      <c r="C40" s="213" t="s">
        <v>282</v>
      </c>
      <c r="D40" s="214">
        <v>25245</v>
      </c>
      <c r="E40" s="213" t="s">
        <v>280</v>
      </c>
      <c r="F40" s="215">
        <v>4592</v>
      </c>
      <c r="G40" s="221">
        <f t="shared" ca="1" si="0"/>
        <v>55</v>
      </c>
    </row>
    <row r="41" spans="1:30" x14ac:dyDescent="0.25">
      <c r="A41" s="211">
        <v>7429</v>
      </c>
      <c r="B41" s="212" t="s">
        <v>331</v>
      </c>
      <c r="C41" s="213" t="s">
        <v>82</v>
      </c>
      <c r="D41" s="214">
        <v>21649</v>
      </c>
      <c r="E41" s="213" t="s">
        <v>285</v>
      </c>
      <c r="F41" s="215">
        <v>8842</v>
      </c>
      <c r="G41" s="221">
        <f t="shared" ca="1" si="0"/>
        <v>65</v>
      </c>
    </row>
    <row r="42" spans="1:30" x14ac:dyDescent="0.25">
      <c r="A42" s="211">
        <v>7761</v>
      </c>
      <c r="B42" s="212" t="s">
        <v>332</v>
      </c>
      <c r="C42" s="213" t="s">
        <v>282</v>
      </c>
      <c r="D42" s="214">
        <v>21967</v>
      </c>
      <c r="E42" s="213" t="s">
        <v>295</v>
      </c>
      <c r="F42" s="215">
        <v>14588</v>
      </c>
      <c r="G42" s="221">
        <f t="shared" ca="1" si="0"/>
        <v>64</v>
      </c>
    </row>
    <row r="43" spans="1:30" x14ac:dyDescent="0.25">
      <c r="A43" s="211">
        <v>7849</v>
      </c>
      <c r="B43" s="212" t="s">
        <v>333</v>
      </c>
      <c r="C43" s="213" t="s">
        <v>287</v>
      </c>
      <c r="D43" s="214">
        <v>22961</v>
      </c>
      <c r="E43" s="213" t="s">
        <v>297</v>
      </c>
      <c r="F43" s="215">
        <v>15144</v>
      </c>
      <c r="G43" s="221">
        <f t="shared" ca="1" si="0"/>
        <v>62</v>
      </c>
    </row>
    <row r="44" spans="1:30" x14ac:dyDescent="0.25">
      <c r="A44" s="211">
        <v>7860</v>
      </c>
      <c r="B44" s="212" t="s">
        <v>334</v>
      </c>
      <c r="C44" s="213" t="s">
        <v>287</v>
      </c>
      <c r="D44" s="214">
        <v>25657</v>
      </c>
      <c r="E44" s="213" t="s">
        <v>304</v>
      </c>
      <c r="F44" s="215">
        <v>20811</v>
      </c>
      <c r="G44" s="221">
        <f t="shared" ca="1" si="0"/>
        <v>54</v>
      </c>
    </row>
    <row r="45" spans="1:30" x14ac:dyDescent="0.25">
      <c r="A45" s="211">
        <v>8063</v>
      </c>
      <c r="B45" s="212" t="s">
        <v>335</v>
      </c>
      <c r="C45" s="213" t="s">
        <v>82</v>
      </c>
      <c r="D45" s="214">
        <v>25503</v>
      </c>
      <c r="E45" s="213" t="s">
        <v>47</v>
      </c>
      <c r="F45" s="215">
        <v>26860</v>
      </c>
      <c r="G45" s="221">
        <f t="shared" ca="1" si="0"/>
        <v>55</v>
      </c>
    </row>
    <row r="46" spans="1:30" x14ac:dyDescent="0.25">
      <c r="A46" s="211">
        <v>8093</v>
      </c>
      <c r="B46" s="212" t="s">
        <v>336</v>
      </c>
      <c r="C46" s="213" t="s">
        <v>293</v>
      </c>
      <c r="D46" s="214">
        <v>32740</v>
      </c>
      <c r="E46" s="213" t="s">
        <v>302</v>
      </c>
      <c r="F46" s="215">
        <v>33881</v>
      </c>
      <c r="G46" s="221">
        <f t="shared" ca="1" si="0"/>
        <v>35</v>
      </c>
    </row>
    <row r="47" spans="1:30" x14ac:dyDescent="0.25">
      <c r="A47" s="211">
        <v>8428</v>
      </c>
      <c r="B47" s="212" t="s">
        <v>337</v>
      </c>
      <c r="C47" s="213" t="s">
        <v>287</v>
      </c>
      <c r="D47" s="214">
        <v>26792</v>
      </c>
      <c r="E47" s="213" t="s">
        <v>47</v>
      </c>
      <c r="F47" s="215">
        <v>18234</v>
      </c>
      <c r="G47" s="221">
        <f t="shared" ca="1" si="0"/>
        <v>51</v>
      </c>
    </row>
    <row r="48" spans="1:30" x14ac:dyDescent="0.25">
      <c r="A48" s="211">
        <v>8547</v>
      </c>
      <c r="B48" s="212" t="s">
        <v>338</v>
      </c>
      <c r="C48" s="213" t="s">
        <v>60</v>
      </c>
      <c r="D48" s="214">
        <v>24625</v>
      </c>
      <c r="E48" s="213" t="s">
        <v>280</v>
      </c>
      <c r="F48" s="215">
        <v>8120</v>
      </c>
      <c r="G48" s="221">
        <f t="shared" ca="1" si="0"/>
        <v>57</v>
      </c>
    </row>
    <row r="49" spans="1:7" x14ac:dyDescent="0.25">
      <c r="A49" s="211">
        <v>8719</v>
      </c>
      <c r="B49" s="212" t="s">
        <v>339</v>
      </c>
      <c r="C49" s="213" t="s">
        <v>82</v>
      </c>
      <c r="D49" s="214">
        <v>19026</v>
      </c>
      <c r="E49" s="213" t="s">
        <v>283</v>
      </c>
      <c r="F49" s="215">
        <v>4933</v>
      </c>
      <c r="G49" s="221">
        <f t="shared" ca="1" si="0"/>
        <v>72</v>
      </c>
    </row>
    <row r="50" spans="1:7" x14ac:dyDescent="0.25">
      <c r="A50" s="211">
        <v>8730</v>
      </c>
      <c r="B50" s="212" t="s">
        <v>340</v>
      </c>
      <c r="C50" s="213" t="s">
        <v>60</v>
      </c>
      <c r="D50" s="214">
        <v>27445</v>
      </c>
      <c r="E50" s="213" t="s">
        <v>288</v>
      </c>
      <c r="F50" s="215">
        <v>30741</v>
      </c>
      <c r="G50" s="221">
        <f t="shared" ca="1" si="0"/>
        <v>49</v>
      </c>
    </row>
    <row r="51" spans="1:7" x14ac:dyDescent="0.25">
      <c r="A51" s="211">
        <v>8733</v>
      </c>
      <c r="B51" s="212" t="s">
        <v>341</v>
      </c>
      <c r="C51" s="213" t="s">
        <v>56</v>
      </c>
      <c r="D51" s="214">
        <v>27445</v>
      </c>
      <c r="E51" s="213" t="s">
        <v>304</v>
      </c>
      <c r="F51" s="215">
        <v>30141</v>
      </c>
      <c r="G51" s="221">
        <f t="shared" ca="1" si="0"/>
        <v>49</v>
      </c>
    </row>
    <row r="52" spans="1:7" x14ac:dyDescent="0.25">
      <c r="A52" s="211">
        <v>8956</v>
      </c>
      <c r="B52" s="212" t="s">
        <v>342</v>
      </c>
      <c r="C52" s="213" t="s">
        <v>287</v>
      </c>
      <c r="D52" s="214">
        <v>26813</v>
      </c>
      <c r="E52" s="213" t="s">
        <v>290</v>
      </c>
      <c r="F52" s="215">
        <v>17490</v>
      </c>
      <c r="G52" s="221">
        <f t="shared" ca="1" si="0"/>
        <v>51</v>
      </c>
    </row>
    <row r="53" spans="1:7" x14ac:dyDescent="0.25">
      <c r="A53" s="211">
        <v>9222</v>
      </c>
      <c r="B53" s="212" t="s">
        <v>343</v>
      </c>
      <c r="C53" s="213" t="s">
        <v>293</v>
      </c>
      <c r="D53" s="214">
        <v>20925</v>
      </c>
      <c r="E53" s="213" t="s">
        <v>280</v>
      </c>
      <c r="F53" s="215">
        <v>25296</v>
      </c>
      <c r="G53" s="221">
        <f t="shared" ca="1" si="0"/>
        <v>67</v>
      </c>
    </row>
    <row r="54" spans="1:7" x14ac:dyDescent="0.25">
      <c r="A54" s="211">
        <v>9248</v>
      </c>
      <c r="B54" s="212" t="s">
        <v>344</v>
      </c>
      <c r="C54" s="213" t="s">
        <v>287</v>
      </c>
      <c r="D54" s="214">
        <v>28425</v>
      </c>
      <c r="E54" s="213" t="s">
        <v>285</v>
      </c>
      <c r="F54" s="215">
        <v>32258</v>
      </c>
      <c r="G54" s="221">
        <f t="shared" ca="1" si="0"/>
        <v>47</v>
      </c>
    </row>
    <row r="55" spans="1:7" x14ac:dyDescent="0.25">
      <c r="A55" s="211">
        <v>9273</v>
      </c>
      <c r="B55" s="212" t="s">
        <v>345</v>
      </c>
      <c r="C55" s="213" t="s">
        <v>293</v>
      </c>
      <c r="D55" s="214">
        <v>31275</v>
      </c>
      <c r="E55" s="213" t="s">
        <v>295</v>
      </c>
      <c r="F55" s="215">
        <v>10126</v>
      </c>
      <c r="G55" s="221">
        <f t="shared" ca="1" si="0"/>
        <v>39</v>
      </c>
    </row>
    <row r="56" spans="1:7" x14ac:dyDescent="0.25">
      <c r="A56" s="211">
        <v>9292</v>
      </c>
      <c r="B56" s="212" t="s">
        <v>346</v>
      </c>
      <c r="C56" s="213" t="s">
        <v>293</v>
      </c>
      <c r="D56" s="214">
        <v>18267</v>
      </c>
      <c r="E56" s="213" t="s">
        <v>297</v>
      </c>
      <c r="F56" s="215">
        <v>29509</v>
      </c>
      <c r="G56" s="221">
        <f t="shared" ca="1" si="0"/>
        <v>74</v>
      </c>
    </row>
    <row r="57" spans="1:7" x14ac:dyDescent="0.25">
      <c r="A57" s="211">
        <v>9412</v>
      </c>
      <c r="B57" s="212" t="s">
        <v>347</v>
      </c>
      <c r="C57" s="213" t="s">
        <v>60</v>
      </c>
      <c r="D57" s="214">
        <v>25865</v>
      </c>
      <c r="E57" s="213" t="s">
        <v>304</v>
      </c>
      <c r="F57" s="215">
        <v>10632</v>
      </c>
      <c r="G57" s="221">
        <f t="shared" ca="1" si="0"/>
        <v>54</v>
      </c>
    </row>
    <row r="58" spans="1:7" x14ac:dyDescent="0.25">
      <c r="A58" s="211">
        <v>9738</v>
      </c>
      <c r="B58" s="212" t="s">
        <v>348</v>
      </c>
      <c r="C58" s="213" t="s">
        <v>82</v>
      </c>
      <c r="D58" s="214">
        <v>27502</v>
      </c>
      <c r="E58" s="213" t="s">
        <v>295</v>
      </c>
      <c r="F58" s="215">
        <v>13531</v>
      </c>
      <c r="G58" s="221">
        <f t="shared" ca="1" si="0"/>
        <v>49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CCC9F-01BF-4671-8514-E0D6366B4525}">
  <dimension ref="A1:B1"/>
  <sheetViews>
    <sheetView rightToLeft="1" workbookViewId="0">
      <selection activeCell="A4" sqref="A4:E4"/>
    </sheetView>
  </sheetViews>
  <sheetFormatPr defaultRowHeight="13.8" x14ac:dyDescent="0.25"/>
  <sheetData>
    <row r="1" spans="1:2" x14ac:dyDescent="0.25">
      <c r="A1" s="340" t="s">
        <v>39</v>
      </c>
      <c r="B1" s="340" t="s">
        <v>277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B691-2C53-4CB4-BBE3-115D159AA640}">
  <dimension ref="A1:S46"/>
  <sheetViews>
    <sheetView rightToLeft="1" topLeftCell="A3" workbookViewId="0">
      <selection activeCell="I42" sqref="I42"/>
    </sheetView>
  </sheetViews>
  <sheetFormatPr defaultRowHeight="13.8" x14ac:dyDescent="0.25"/>
  <cols>
    <col min="1" max="1" width="8.796875" style="41"/>
    <col min="2" max="2" width="15" style="41" bestFit="1" customWidth="1"/>
    <col min="3" max="3" width="11" style="41" customWidth="1"/>
    <col min="4" max="4" width="14.69921875" style="41" customWidth="1"/>
    <col min="5" max="5" width="10.5" style="41" bestFit="1" customWidth="1"/>
    <col min="6" max="7" width="8.796875" style="41"/>
    <col min="8" max="8" width="20.8984375" style="41" customWidth="1"/>
    <col min="9" max="9" width="17.5" style="41" customWidth="1"/>
    <col min="10" max="10" width="16.3984375" style="41" customWidth="1"/>
    <col min="11" max="11" width="8.796875" style="41"/>
    <col min="12" max="12" width="9.8984375" style="41" bestFit="1" customWidth="1"/>
    <col min="13" max="13" width="27.69921875" style="41" customWidth="1"/>
    <col min="14" max="17" width="8.796875" style="41"/>
    <col min="18" max="19" width="10.59765625" style="41" bestFit="1" customWidth="1"/>
    <col min="20" max="16384" width="8.796875" style="41"/>
  </cols>
  <sheetData>
    <row r="1" spans="1:19" s="34" customFormat="1" ht="55.8" x14ac:dyDescent="0.3">
      <c r="A1" s="208" t="s">
        <v>0</v>
      </c>
      <c r="B1" s="208" t="s">
        <v>1</v>
      </c>
      <c r="C1" s="208" t="s">
        <v>2</v>
      </c>
      <c r="D1" s="208" t="s">
        <v>3</v>
      </c>
      <c r="E1" s="208" t="s">
        <v>4</v>
      </c>
      <c r="F1" s="208" t="s">
        <v>5</v>
      </c>
      <c r="G1" s="208" t="s">
        <v>6</v>
      </c>
      <c r="H1" s="208" t="s">
        <v>7</v>
      </c>
      <c r="I1" s="209" t="s">
        <v>133</v>
      </c>
      <c r="J1" s="209" t="s">
        <v>134</v>
      </c>
      <c r="K1" s="209" t="s">
        <v>135</v>
      </c>
      <c r="L1" s="209" t="s">
        <v>34</v>
      </c>
      <c r="M1" s="209" t="s">
        <v>136</v>
      </c>
      <c r="N1" s="208" t="s">
        <v>1</v>
      </c>
      <c r="P1" s="170"/>
      <c r="Q1" s="170"/>
      <c r="R1" s="171"/>
      <c r="S1" s="171"/>
    </row>
    <row r="2" spans="1:19" ht="14.4" x14ac:dyDescent="0.3">
      <c r="A2" s="35">
        <v>1855</v>
      </c>
      <c r="B2" s="35" t="s">
        <v>8</v>
      </c>
      <c r="C2" s="35" t="s">
        <v>9</v>
      </c>
      <c r="D2" s="36">
        <v>43723</v>
      </c>
      <c r="E2" s="37">
        <v>2500</v>
      </c>
      <c r="F2" s="35">
        <v>10</v>
      </c>
      <c r="G2" s="38">
        <v>8.9999999999999993E-3</v>
      </c>
      <c r="H2" s="39">
        <v>16761.877886011072</v>
      </c>
      <c r="I2" s="40">
        <f t="shared" ref="I2:I25" si="0">(H2-E2)*$B$28*(1-G2)</f>
        <v>43813.915053614619</v>
      </c>
      <c r="J2" s="40">
        <f>VLOOKUP(F2,'[3]נתונים נוספים'!$A$4:$D$9,VLOOKUP(VlookUp!C2,'[3]נתונים נוספים'!$F$4:$G$6,2,0),0)*VlookUp!$B$28*H2</f>
        <v>7794.2732169951478</v>
      </c>
      <c r="K2" s="41" t="str">
        <f>TEXT(D2,"mmmm")</f>
        <v>ספטמבר</v>
      </c>
      <c r="L2" s="42">
        <f>IF(AND(C2=$L$32,E2&lt;$L$33),DATE(YEAR(D2)+$L$34,MONTH(D2),$L$35),IF(OR(F2=$L$40,F2=$L$41),DATE($L$36,$L$37,DAY(D2)),DATE(YEAR(D2),MONTH(D2)+$L$38,DAY(D2)+$L$39)))</f>
        <v>44440</v>
      </c>
      <c r="M2" s="41" t="str">
        <f>IF(C2=$M$33,IF(E2&lt;=$M$34,$M$35,$M$36),IF(C2=$M$32,IF(YEAR(D2)&lt;=$M$37,$M$39,IF(YEAR(D2)&lt;=$M$38,$M$40,$M$41)),$M$42))</f>
        <v>תווי קניה</v>
      </c>
      <c r="N2" s="35" t="s">
        <v>8</v>
      </c>
      <c r="P2" s="168"/>
      <c r="Q2" s="168"/>
      <c r="R2" s="172"/>
      <c r="S2" s="173"/>
    </row>
    <row r="3" spans="1:19" ht="14.4" x14ac:dyDescent="0.3">
      <c r="A3" s="35">
        <v>1856</v>
      </c>
      <c r="B3" s="35" t="s">
        <v>10</v>
      </c>
      <c r="C3" s="35" t="s">
        <v>11</v>
      </c>
      <c r="D3" s="36">
        <v>42075</v>
      </c>
      <c r="E3" s="37">
        <v>146726</v>
      </c>
      <c r="F3" s="35">
        <v>13</v>
      </c>
      <c r="G3" s="38">
        <v>2.8999999999999998E-3</v>
      </c>
      <c r="H3" s="39">
        <v>214094.11260178176</v>
      </c>
      <c r="I3" s="40">
        <f t="shared" si="0"/>
        <v>208235.50973323346</v>
      </c>
      <c r="J3" s="40">
        <f>VLOOKUP(F3,'[3]נתונים נוספים'!$A$4:$D$9,VLOOKUP(VlookUp!C3,'[3]נתונים נוספים'!$F$4:$G$6,2,0),0)*VlookUp!$B$28*H3</f>
        <v>142693.72604908753</v>
      </c>
      <c r="K3" s="41" t="str">
        <f t="shared" ref="K3:K26" si="1">TEXT(D3,"mmmm")</f>
        <v>מרץ</v>
      </c>
      <c r="L3" s="42">
        <f t="shared" ref="L3:L26" si="2">IF(AND(C3=$L$32,E3&lt;$L$33),DATE(YEAR(D3)+$L$34,MONTH(D3),$L$35),IF(OR(F3=$L$40,F3=$L$41),DATE($L$36,$L$37,DAY(D3)),DATE(YEAR(D3),MONTH(D3)+$L$38,DAY(D3)+$L$39)))</f>
        <v>42332</v>
      </c>
      <c r="M3" s="41" t="str">
        <f t="shared" ref="M3:M26" si="3">IF(C3=$M$33,IF(E3&lt;=$M$34,$M$35,$M$36),IF(C3=$M$32,IF(YEAR(D3)&lt;=$M$37,$M$39,IF(YEAR(D3)&lt;=$M$38,$M$40,$M$41)),$M$42))</f>
        <v>חופשה בפריז</v>
      </c>
      <c r="N3" s="35" t="s">
        <v>10</v>
      </c>
      <c r="P3" s="168"/>
      <c r="Q3" s="168"/>
      <c r="R3" s="172"/>
      <c r="S3" s="173"/>
    </row>
    <row r="4" spans="1:19" ht="14.4" x14ac:dyDescent="0.3">
      <c r="A4" s="35">
        <v>1857</v>
      </c>
      <c r="B4" s="35" t="s">
        <v>12</v>
      </c>
      <c r="C4" s="35" t="s">
        <v>9</v>
      </c>
      <c r="D4" s="36">
        <v>43007</v>
      </c>
      <c r="E4" s="37">
        <v>253094</v>
      </c>
      <c r="F4" s="35">
        <v>10</v>
      </c>
      <c r="G4" s="38">
        <v>6.0000000000000001E-3</v>
      </c>
      <c r="H4" s="39">
        <v>307637.33883750002</v>
      </c>
      <c r="I4" s="40">
        <f t="shared" si="0"/>
        <v>168069.84429387259</v>
      </c>
      <c r="J4" s="40">
        <f>VLOOKUP(F4,'[3]נתונים נוספים'!$A$4:$D$9,VLOOKUP(VlookUp!C4,'[3]נתונים נוספים'!$F$4:$G$6,2,0),0)*VlookUp!$B$28*H4</f>
        <v>143051.36255943749</v>
      </c>
      <c r="K4" s="41" t="str">
        <f t="shared" si="1"/>
        <v>ספטמבר</v>
      </c>
      <c r="L4" s="42">
        <f t="shared" si="2"/>
        <v>43261</v>
      </c>
      <c r="M4" s="41" t="str">
        <f t="shared" si="3"/>
        <v>תווי קניה</v>
      </c>
      <c r="N4" s="35" t="s">
        <v>12</v>
      </c>
      <c r="P4" s="168"/>
      <c r="Q4" s="168"/>
      <c r="R4" s="172"/>
      <c r="S4" s="173"/>
    </row>
    <row r="5" spans="1:19" ht="14.4" x14ac:dyDescent="0.3">
      <c r="A5" s="35">
        <v>1858</v>
      </c>
      <c r="B5" s="35" t="s">
        <v>13</v>
      </c>
      <c r="C5" s="35" t="s">
        <v>9</v>
      </c>
      <c r="D5" s="36">
        <v>42367</v>
      </c>
      <c r="E5" s="37">
        <v>70131</v>
      </c>
      <c r="F5" s="35">
        <v>14</v>
      </c>
      <c r="G5" s="38">
        <v>1E-3</v>
      </c>
      <c r="H5" s="39">
        <v>332458.09982047207</v>
      </c>
      <c r="I5" s="40">
        <f t="shared" si="0"/>
        <v>812400.79543401999</v>
      </c>
      <c r="J5" s="40">
        <f>VLOOKUP(F5,'[3]נתונים נוספים'!$A$4:$D$9,VLOOKUP(VlookUp!C5,'[3]נתונים נוספים'!$F$4:$G$6,2,0),0)*VlookUp!$B$28*H5</f>
        <v>164899.21751095416</v>
      </c>
      <c r="K5" s="41" t="str">
        <f t="shared" si="1"/>
        <v>דצמבר</v>
      </c>
      <c r="L5" s="42">
        <f t="shared" si="2"/>
        <v>44649</v>
      </c>
      <c r="M5" s="41" t="str">
        <f t="shared" si="3"/>
        <v>סט סירים</v>
      </c>
      <c r="N5" s="35" t="s">
        <v>13</v>
      </c>
      <c r="P5" s="168"/>
      <c r="Q5" s="168"/>
      <c r="R5" s="172"/>
      <c r="S5" s="173"/>
    </row>
    <row r="6" spans="1:19" ht="14.4" x14ac:dyDescent="0.3">
      <c r="A6" s="35">
        <v>1859</v>
      </c>
      <c r="B6" s="35" t="s">
        <v>14</v>
      </c>
      <c r="C6" s="35" t="s">
        <v>9</v>
      </c>
      <c r="D6" s="36">
        <v>43866</v>
      </c>
      <c r="E6" s="37">
        <v>63372</v>
      </c>
      <c r="F6" s="35">
        <v>15</v>
      </c>
      <c r="G6" s="38">
        <v>1E-3</v>
      </c>
      <c r="H6" s="39">
        <v>1229261.9753939065</v>
      </c>
      <c r="I6" s="40">
        <f t="shared" si="0"/>
        <v>3610644.6647973889</v>
      </c>
      <c r="J6" s="40">
        <f>VLOOKUP(F6,'[3]נתונים נוספים'!$A$4:$D$9,VLOOKUP(VlookUp!C6,'[3]נתונים נוספים'!$F$4:$G$6,2,0),0)*VlookUp!$B$28*H6</f>
        <v>819303.10660003859</v>
      </c>
      <c r="K6" s="41" t="str">
        <f t="shared" si="1"/>
        <v>פברואר</v>
      </c>
      <c r="L6" s="42">
        <f t="shared" si="2"/>
        <v>44625</v>
      </c>
      <c r="M6" s="41" t="str">
        <f t="shared" si="3"/>
        <v>תווי קניה</v>
      </c>
      <c r="N6" s="35" t="s">
        <v>14</v>
      </c>
      <c r="P6" s="168"/>
      <c r="Q6" s="168"/>
      <c r="R6" s="172"/>
      <c r="S6" s="173"/>
    </row>
    <row r="7" spans="1:19" ht="14.4" x14ac:dyDescent="0.3">
      <c r="A7" s="35">
        <v>1860</v>
      </c>
      <c r="B7" s="35" t="s">
        <v>13</v>
      </c>
      <c r="C7" s="35" t="s">
        <v>11</v>
      </c>
      <c r="D7" s="36">
        <v>43604</v>
      </c>
      <c r="E7" s="37">
        <v>72483</v>
      </c>
      <c r="F7" s="35">
        <v>15</v>
      </c>
      <c r="G7" s="38">
        <v>1E-3</v>
      </c>
      <c r="H7" s="39">
        <v>1877660.4186721272</v>
      </c>
      <c r="I7" s="40">
        <f t="shared" si="0"/>
        <v>5590453.9478857107</v>
      </c>
      <c r="J7" s="40">
        <f>VLOOKUP(F7,'[3]נתונים נוספים'!$A$4:$D$9,VLOOKUP(VlookUp!C7,'[3]נתונים נוספים'!$F$4:$G$6,2,0),0)*VlookUp!$B$28*H7</f>
        <v>582074.72978835949</v>
      </c>
      <c r="K7" s="41" t="str">
        <f t="shared" si="1"/>
        <v>מאי</v>
      </c>
      <c r="L7" s="42">
        <f t="shared" si="2"/>
        <v>44639</v>
      </c>
      <c r="M7" s="41" t="str">
        <f t="shared" si="3"/>
        <v>חופשה בפריז</v>
      </c>
      <c r="N7" s="35" t="s">
        <v>13</v>
      </c>
      <c r="P7" s="168"/>
      <c r="Q7" s="168"/>
      <c r="R7" s="172"/>
      <c r="S7" s="173"/>
    </row>
    <row r="8" spans="1:19" ht="14.4" x14ac:dyDescent="0.3">
      <c r="A8" s="35">
        <v>1861</v>
      </c>
      <c r="B8" s="35" t="s">
        <v>15</v>
      </c>
      <c r="C8" s="35" t="s">
        <v>11</v>
      </c>
      <c r="D8" s="36">
        <v>42562</v>
      </c>
      <c r="E8" s="37">
        <v>108877</v>
      </c>
      <c r="F8" s="35">
        <v>13</v>
      </c>
      <c r="G8" s="38">
        <v>2.8999999999999998E-3</v>
      </c>
      <c r="H8" s="39">
        <v>986671.12314671697</v>
      </c>
      <c r="I8" s="40">
        <f t="shared" si="0"/>
        <v>2713270.4125877335</v>
      </c>
      <c r="J8" s="40">
        <f>VLOOKUP(F8,'[3]נתונים נוספים'!$A$4:$D$9,VLOOKUP(VlookUp!C8,'[3]נתונים נוספים'!$F$4:$G$6,2,0),0)*VlookUp!$B$28*H8</f>
        <v>657616.30357728689</v>
      </c>
      <c r="K8" s="41" t="str">
        <f t="shared" si="1"/>
        <v>יולי</v>
      </c>
      <c r="L8" s="42">
        <f t="shared" si="2"/>
        <v>42817</v>
      </c>
      <c r="M8" s="41" t="str">
        <f t="shared" si="3"/>
        <v>חופשה בפריז</v>
      </c>
      <c r="N8" s="35" t="s">
        <v>15</v>
      </c>
      <c r="P8" s="168"/>
      <c r="Q8" s="168"/>
      <c r="R8" s="172"/>
      <c r="S8" s="173"/>
    </row>
    <row r="9" spans="1:19" ht="14.4" x14ac:dyDescent="0.3">
      <c r="A9" s="35">
        <v>1862</v>
      </c>
      <c r="B9" s="35" t="s">
        <v>16</v>
      </c>
      <c r="C9" s="35" t="s">
        <v>11</v>
      </c>
      <c r="D9" s="36">
        <v>44321</v>
      </c>
      <c r="E9" s="37">
        <v>96681</v>
      </c>
      <c r="F9" s="35">
        <v>10</v>
      </c>
      <c r="G9" s="38">
        <v>7.0000000000000001E-3</v>
      </c>
      <c r="H9" s="39">
        <v>191421.76696540037</v>
      </c>
      <c r="I9" s="40">
        <f t="shared" si="0"/>
        <v>291640.50294959196</v>
      </c>
      <c r="J9" s="40">
        <f>VLOOKUP(F9,'[3]נתונים נוספים'!$A$4:$D$9,VLOOKUP(VlookUp!C9,'[3]נתונים נוספים'!$F$4:$G$6,2,0),0)*VlookUp!$B$28*H9</f>
        <v>89011.121638911165</v>
      </c>
      <c r="K9" s="41" t="str">
        <f t="shared" si="1"/>
        <v>מאי</v>
      </c>
      <c r="L9" s="42">
        <f t="shared" si="2"/>
        <v>44578</v>
      </c>
      <c r="M9" s="41" t="str">
        <f t="shared" si="3"/>
        <v>חופשה בפריז</v>
      </c>
      <c r="N9" s="35" t="s">
        <v>16</v>
      </c>
      <c r="P9" s="168"/>
      <c r="Q9" s="168"/>
      <c r="R9" s="172"/>
      <c r="S9" s="173"/>
    </row>
    <row r="10" spans="1:19" ht="14.4" x14ac:dyDescent="0.3">
      <c r="A10" s="35">
        <v>1863</v>
      </c>
      <c r="B10" s="35" t="s">
        <v>17</v>
      </c>
      <c r="C10" s="35" t="s">
        <v>11</v>
      </c>
      <c r="D10" s="36">
        <v>43400</v>
      </c>
      <c r="E10" s="37">
        <v>66590</v>
      </c>
      <c r="F10" s="35">
        <v>15</v>
      </c>
      <c r="G10" s="38">
        <v>1E-3</v>
      </c>
      <c r="H10" s="39">
        <v>377756.68354481296</v>
      </c>
      <c r="I10" s="40">
        <f t="shared" si="0"/>
        <v>963652.10226993135</v>
      </c>
      <c r="J10" s="40">
        <f>VLOOKUP(F10,'[3]נתונים נוספים'!$A$4:$D$9,VLOOKUP(VlookUp!C10,'[3]נתונים נוספים'!$F$4:$G$6,2,0),0)*VlookUp!$B$28*H10</f>
        <v>117104.57189889204</v>
      </c>
      <c r="K10" s="41" t="str">
        <f t="shared" si="1"/>
        <v>אוקטובר</v>
      </c>
      <c r="L10" s="42">
        <f t="shared" si="2"/>
        <v>44647</v>
      </c>
      <c r="M10" s="41" t="str">
        <f t="shared" si="3"/>
        <v>חופשה בפריז</v>
      </c>
      <c r="N10" s="35" t="s">
        <v>17</v>
      </c>
      <c r="P10" s="168"/>
      <c r="Q10" s="168"/>
      <c r="R10" s="172"/>
      <c r="S10" s="173"/>
    </row>
    <row r="11" spans="1:19" ht="14.4" x14ac:dyDescent="0.3">
      <c r="A11" s="35">
        <v>1864</v>
      </c>
      <c r="B11" s="357" t="s">
        <v>18</v>
      </c>
      <c r="C11" s="35" t="s">
        <v>19</v>
      </c>
      <c r="D11" s="36">
        <v>43977</v>
      </c>
      <c r="E11" s="37">
        <v>224708</v>
      </c>
      <c r="F11" s="35">
        <v>10</v>
      </c>
      <c r="G11" s="38">
        <v>6.0000000000000001E-3</v>
      </c>
      <c r="H11" s="356">
        <v>3453180.5195543682</v>
      </c>
      <c r="I11" s="40">
        <f t="shared" si="0"/>
        <v>9948215.2217548303</v>
      </c>
      <c r="J11" s="40">
        <f>VLOOKUP(F11,'[3]נתונים נוספים'!$A$4:$D$9,VLOOKUP(VlookUp!C11,'[3]נתונים נוספים'!$F$4:$G$6,2,0),0)*VlookUp!$B$28*H11</f>
        <v>1070485.9610618544</v>
      </c>
      <c r="K11" s="41" t="str">
        <f t="shared" si="1"/>
        <v>מאי</v>
      </c>
      <c r="L11" s="42">
        <f t="shared" si="2"/>
        <v>44234</v>
      </c>
      <c r="M11" s="41" t="str">
        <f t="shared" si="3"/>
        <v>ללא מתנה</v>
      </c>
      <c r="N11" s="357" t="s">
        <v>18</v>
      </c>
      <c r="P11" s="168"/>
      <c r="Q11" s="168"/>
      <c r="R11" s="172"/>
      <c r="S11" s="173"/>
    </row>
    <row r="12" spans="1:19" ht="14.4" x14ac:dyDescent="0.3">
      <c r="A12" s="35">
        <v>1865</v>
      </c>
      <c r="B12" s="35" t="s">
        <v>20</v>
      </c>
      <c r="C12" s="35" t="s">
        <v>9</v>
      </c>
      <c r="D12" s="36">
        <v>44029</v>
      </c>
      <c r="E12" s="37">
        <v>49492</v>
      </c>
      <c r="F12" s="35">
        <v>14</v>
      </c>
      <c r="G12" s="38">
        <v>1.1000000000000001E-3</v>
      </c>
      <c r="H12" s="39">
        <v>2044762.0534205888</v>
      </c>
      <c r="I12" s="40">
        <f t="shared" si="0"/>
        <v>6178533.2947216621</v>
      </c>
      <c r="J12" s="40">
        <f>VLOOKUP(F12,'[3]נתונים נוספים'!$A$4:$D$9,VLOOKUP(VlookUp!C12,'[3]נתונים נוספים'!$F$4:$G$6,2,0),0)*VlookUp!$B$28*H12</f>
        <v>1014201.9784966122</v>
      </c>
      <c r="K12" s="41" t="str">
        <f t="shared" si="1"/>
        <v>יולי</v>
      </c>
      <c r="L12" s="42">
        <f t="shared" si="2"/>
        <v>44743</v>
      </c>
      <c r="M12" s="41" t="str">
        <f t="shared" si="3"/>
        <v>תווי קניה</v>
      </c>
      <c r="N12" s="35" t="s">
        <v>20</v>
      </c>
      <c r="P12" s="168"/>
      <c r="Q12" s="168"/>
      <c r="R12" s="172"/>
      <c r="S12" s="173"/>
    </row>
    <row r="13" spans="1:19" ht="14.4" x14ac:dyDescent="0.3">
      <c r="A13" s="35">
        <v>1866</v>
      </c>
      <c r="B13" s="35" t="s">
        <v>21</v>
      </c>
      <c r="C13" s="35" t="s">
        <v>9</v>
      </c>
      <c r="D13" s="36">
        <v>40661</v>
      </c>
      <c r="E13" s="37">
        <v>76982</v>
      </c>
      <c r="F13" s="35">
        <v>13</v>
      </c>
      <c r="G13" s="38">
        <v>3.8999999999999998E-3</v>
      </c>
      <c r="H13" s="39">
        <v>2617985.4305046364</v>
      </c>
      <c r="I13" s="40">
        <f t="shared" si="0"/>
        <v>7846389.9030895717</v>
      </c>
      <c r="J13" s="40">
        <f>VLOOKUP(F13,'[3]נתונים נוספים'!$A$4:$D$9,VLOOKUP(VlookUp!C13,'[3]נתונים נוספים'!$F$4:$G$6,2,0),0)*VlookUp!$B$28*H13</f>
        <v>1866623.6119498059</v>
      </c>
      <c r="K13" s="41" t="str">
        <f t="shared" si="1"/>
        <v>אפריל</v>
      </c>
      <c r="L13" s="42">
        <f t="shared" si="2"/>
        <v>40917</v>
      </c>
      <c r="M13" s="41" t="str">
        <f t="shared" si="3"/>
        <v>כרטיס להופעה</v>
      </c>
      <c r="N13" s="35" t="s">
        <v>21</v>
      </c>
      <c r="P13" s="168"/>
      <c r="Q13" s="168"/>
      <c r="R13" s="172"/>
      <c r="S13" s="173"/>
    </row>
    <row r="14" spans="1:19" ht="14.4" x14ac:dyDescent="0.3">
      <c r="A14" s="35">
        <v>1867</v>
      </c>
      <c r="B14" s="35" t="s">
        <v>22</v>
      </c>
      <c r="C14" s="35" t="s">
        <v>19</v>
      </c>
      <c r="D14" s="36">
        <v>40434</v>
      </c>
      <c r="E14" s="37">
        <v>184883</v>
      </c>
      <c r="F14" s="35">
        <v>10</v>
      </c>
      <c r="G14" s="38">
        <v>6.0000000000000001E-3</v>
      </c>
      <c r="H14" s="39">
        <v>2226133.6383189736</v>
      </c>
      <c r="I14" s="40">
        <f t="shared" si="0"/>
        <v>6289909.7169160852</v>
      </c>
      <c r="J14" s="40">
        <f>VLOOKUP(F14,'[3]נתונים נוספים'!$A$4:$D$9,VLOOKUP(VlookUp!C14,'[3]נתונים נוספים'!$F$4:$G$6,2,0),0)*VlookUp!$B$28*H14</f>
        <v>690101.42787888192</v>
      </c>
      <c r="K14" s="41" t="str">
        <f t="shared" si="1"/>
        <v>ספטמבר</v>
      </c>
      <c r="L14" s="42">
        <f t="shared" si="2"/>
        <v>40688</v>
      </c>
      <c r="M14" s="41" t="str">
        <f t="shared" si="3"/>
        <v>ללא מתנה</v>
      </c>
      <c r="N14" s="35" t="s">
        <v>22</v>
      </c>
      <c r="P14" s="168"/>
      <c r="Q14" s="168"/>
      <c r="R14" s="168"/>
      <c r="S14" s="168"/>
    </row>
    <row r="15" spans="1:19" ht="14.4" x14ac:dyDescent="0.3">
      <c r="A15" s="35">
        <v>1868</v>
      </c>
      <c r="B15" s="35" t="s">
        <v>23</v>
      </c>
      <c r="C15" s="35" t="s">
        <v>19</v>
      </c>
      <c r="D15" s="36">
        <v>41924</v>
      </c>
      <c r="E15" s="37">
        <v>8780</v>
      </c>
      <c r="F15" s="35">
        <v>10</v>
      </c>
      <c r="G15" s="38">
        <v>8.9999999999999993E-3</v>
      </c>
      <c r="H15" s="39">
        <v>122381.75185310727</v>
      </c>
      <c r="I15" s="40">
        <f t="shared" si="0"/>
        <v>348995.94186793087</v>
      </c>
      <c r="J15" s="40">
        <f>VLOOKUP(F15,'[3]נתונים נוספים'!$A$4:$D$9,VLOOKUP(VlookUp!C15,'[3]נתונים נוספים'!$F$4:$G$6,2,0),0)*VlookUp!$B$28*H15</f>
        <v>37938.343074463257</v>
      </c>
      <c r="K15" s="41" t="str">
        <f t="shared" si="1"/>
        <v>אוקטובר</v>
      </c>
      <c r="L15" s="42">
        <f t="shared" si="2"/>
        <v>42179</v>
      </c>
      <c r="M15" s="41" t="str">
        <f t="shared" si="3"/>
        <v>ללא מתנה</v>
      </c>
      <c r="N15" s="35" t="s">
        <v>23</v>
      </c>
      <c r="P15" s="168"/>
      <c r="Q15" s="168"/>
      <c r="R15" s="168"/>
      <c r="S15" s="168"/>
    </row>
    <row r="16" spans="1:19" ht="14.4" x14ac:dyDescent="0.3">
      <c r="A16" s="35">
        <v>1869</v>
      </c>
      <c r="B16" s="35" t="s">
        <v>24</v>
      </c>
      <c r="C16" s="35" t="s">
        <v>9</v>
      </c>
      <c r="D16" s="36">
        <v>41231</v>
      </c>
      <c r="E16" s="37">
        <v>46900</v>
      </c>
      <c r="F16" s="35">
        <v>14</v>
      </c>
      <c r="G16" s="38">
        <v>1.1000000000000001E-3</v>
      </c>
      <c r="H16" s="39">
        <v>80582.931834117058</v>
      </c>
      <c r="I16" s="40">
        <f t="shared" si="0"/>
        <v>104302.22988820855</v>
      </c>
      <c r="J16" s="40">
        <f>VLOOKUP(F16,'[3]נתונים נוספים'!$A$4:$D$9,VLOOKUP(VlookUp!C16,'[3]נתונים נוספים'!$F$4:$G$6,2,0),0)*VlookUp!$B$28*H16</f>
        <v>39969.134189722063</v>
      </c>
      <c r="K16" s="41" t="str">
        <f t="shared" si="1"/>
        <v>נובמבר</v>
      </c>
      <c r="L16" s="42">
        <f t="shared" si="2"/>
        <v>41944</v>
      </c>
      <c r="M16" s="41" t="str">
        <f t="shared" si="3"/>
        <v>כרטיס להופעה</v>
      </c>
      <c r="N16" s="35" t="s">
        <v>24</v>
      </c>
      <c r="P16" s="168"/>
      <c r="Q16" s="168"/>
      <c r="R16" s="168"/>
      <c r="S16" s="168"/>
    </row>
    <row r="17" spans="1:19" ht="14.4" x14ac:dyDescent="0.3">
      <c r="A17" s="35">
        <v>1870</v>
      </c>
      <c r="B17" s="35" t="s">
        <v>25</v>
      </c>
      <c r="C17" s="35" t="s">
        <v>9</v>
      </c>
      <c r="D17" s="36">
        <v>41419</v>
      </c>
      <c r="E17" s="37">
        <v>162174</v>
      </c>
      <c r="F17" s="35">
        <v>14</v>
      </c>
      <c r="G17" s="38">
        <v>8.0000000000000004E-4</v>
      </c>
      <c r="H17" s="39">
        <v>1078268.712803452</v>
      </c>
      <c r="I17" s="40">
        <f t="shared" si="0"/>
        <v>2837621.6948029487</v>
      </c>
      <c r="J17" s="40">
        <f>VLOOKUP(F17,'[3]נתונים נוספים'!$A$4:$D$9,VLOOKUP(VlookUp!C17,'[3]נתונים נוספים'!$F$4:$G$6,2,0),0)*VlookUp!$B$28*H17</f>
        <v>534821.2815505123</v>
      </c>
      <c r="K17" s="41" t="str">
        <f t="shared" si="1"/>
        <v>מאי</v>
      </c>
      <c r="L17" s="42">
        <f t="shared" si="2"/>
        <v>44645</v>
      </c>
      <c r="M17" s="41" t="str">
        <f t="shared" si="3"/>
        <v>סט סירים</v>
      </c>
      <c r="N17" s="35" t="s">
        <v>25</v>
      </c>
      <c r="P17" s="168"/>
      <c r="Q17" s="168"/>
      <c r="R17" s="168"/>
      <c r="S17" s="168"/>
    </row>
    <row r="18" spans="1:19" ht="14.4" x14ac:dyDescent="0.3">
      <c r="A18" s="35">
        <v>1871</v>
      </c>
      <c r="B18" s="35" t="s">
        <v>20</v>
      </c>
      <c r="C18" s="35" t="s">
        <v>9</v>
      </c>
      <c r="D18" s="36">
        <v>41617</v>
      </c>
      <c r="E18" s="37">
        <v>10321</v>
      </c>
      <c r="F18" s="35">
        <v>14</v>
      </c>
      <c r="G18" s="38">
        <v>1.1000000000000001E-3</v>
      </c>
      <c r="H18" s="39">
        <v>372444.86881914415</v>
      </c>
      <c r="I18" s="40">
        <f t="shared" si="0"/>
        <v>1121349.1509466737</v>
      </c>
      <c r="J18" s="40">
        <f>VLOOKUP(F18,'[3]נתונים נוספים'!$A$4:$D$9,VLOOKUP(VlookUp!C18,'[3]נתונים נוספים'!$F$4:$G$6,2,0),0)*VlookUp!$B$28*H18</f>
        <v>184732.65493429551</v>
      </c>
      <c r="K18" s="41" t="str">
        <f t="shared" si="1"/>
        <v>דצמבר</v>
      </c>
      <c r="L18" s="42">
        <f t="shared" si="2"/>
        <v>42339</v>
      </c>
      <c r="M18" s="41" t="str">
        <f t="shared" si="3"/>
        <v>סט סירים</v>
      </c>
      <c r="N18" s="35" t="s">
        <v>20</v>
      </c>
      <c r="P18" s="168"/>
      <c r="Q18" s="168"/>
      <c r="R18" s="168"/>
      <c r="S18" s="168"/>
    </row>
    <row r="19" spans="1:19" ht="14.4" x14ac:dyDescent="0.3">
      <c r="A19" s="35">
        <v>1872</v>
      </c>
      <c r="B19" s="35" t="s">
        <v>26</v>
      </c>
      <c r="C19" s="35" t="s">
        <v>9</v>
      </c>
      <c r="D19" s="36">
        <v>43638</v>
      </c>
      <c r="E19" s="37">
        <v>56091</v>
      </c>
      <c r="F19" s="35">
        <v>15</v>
      </c>
      <c r="G19" s="38">
        <v>1E-3</v>
      </c>
      <c r="H19" s="39">
        <v>1453028.3037917621</v>
      </c>
      <c r="I19" s="40">
        <f t="shared" si="0"/>
        <v>4326175.1361127077</v>
      </c>
      <c r="J19" s="40">
        <f>VLOOKUP(F19,'[3]נתונים נוספים'!$A$4:$D$9,VLOOKUP(VlookUp!C19,'[3]נתונים נוספים'!$F$4:$G$6,2,0),0)*VlookUp!$B$28*H19</f>
        <v>968443.3644772094</v>
      </c>
      <c r="K19" s="41" t="str">
        <f t="shared" si="1"/>
        <v>יוני</v>
      </c>
      <c r="L19" s="42">
        <f t="shared" si="2"/>
        <v>44642</v>
      </c>
      <c r="M19" s="41" t="str">
        <f t="shared" si="3"/>
        <v>תווי קניה</v>
      </c>
      <c r="N19" s="35" t="s">
        <v>26</v>
      </c>
      <c r="P19" s="168"/>
      <c r="Q19" s="168"/>
      <c r="R19" s="168"/>
      <c r="S19" s="168"/>
    </row>
    <row r="20" spans="1:19" ht="14.4" x14ac:dyDescent="0.3">
      <c r="A20" s="35">
        <v>1873</v>
      </c>
      <c r="B20" s="35" t="s">
        <v>27</v>
      </c>
      <c r="C20" s="35" t="s">
        <v>11</v>
      </c>
      <c r="D20" s="36">
        <v>43291</v>
      </c>
      <c r="E20" s="37">
        <v>12866</v>
      </c>
      <c r="F20" s="35">
        <v>10</v>
      </c>
      <c r="G20" s="38">
        <v>8.0000000000000002E-3</v>
      </c>
      <c r="H20" s="39">
        <v>133822.73527755728</v>
      </c>
      <c r="I20" s="40">
        <f t="shared" si="0"/>
        <v>371966.15232554416</v>
      </c>
      <c r="J20" s="40">
        <f>VLOOKUP(F20,'[3]נתונים נוספים'!$A$4:$D$9,VLOOKUP(VlookUp!C20,'[3]נתונים נוספים'!$F$4:$G$6,2,0),0)*VlookUp!$B$28*H20</f>
        <v>62227.571904064134</v>
      </c>
      <c r="K20" s="41" t="str">
        <f t="shared" si="1"/>
        <v>יולי</v>
      </c>
      <c r="L20" s="42">
        <f t="shared" si="2"/>
        <v>43546</v>
      </c>
      <c r="M20" s="41" t="str">
        <f t="shared" si="3"/>
        <v>חופשה באילת</v>
      </c>
      <c r="N20" s="35" t="s">
        <v>27</v>
      </c>
      <c r="P20" s="168"/>
      <c r="Q20" s="168"/>
      <c r="R20" s="168"/>
      <c r="S20" s="168"/>
    </row>
    <row r="21" spans="1:19" ht="14.4" x14ac:dyDescent="0.3">
      <c r="A21" s="35">
        <v>1874</v>
      </c>
      <c r="B21" s="35" t="s">
        <v>28</v>
      </c>
      <c r="C21" s="35" t="s">
        <v>11</v>
      </c>
      <c r="D21" s="36">
        <v>43282</v>
      </c>
      <c r="E21" s="37">
        <v>71270</v>
      </c>
      <c r="F21" s="35">
        <v>13</v>
      </c>
      <c r="G21" s="38">
        <v>3.8999999999999998E-3</v>
      </c>
      <c r="H21" s="39">
        <v>142479.52031448073</v>
      </c>
      <c r="I21" s="40">
        <f t="shared" si="0"/>
        <v>219888.58987428818</v>
      </c>
      <c r="J21" s="40">
        <f>VLOOKUP(F21,'[3]נתונים נוספים'!$A$4:$D$9,VLOOKUP(VlookUp!C21,'[3]נתונים נוספים'!$F$4:$G$6,2,0),0)*VlookUp!$B$28*H21</f>
        <v>94962.600289601411</v>
      </c>
      <c r="K21" s="41" t="str">
        <f t="shared" si="1"/>
        <v>יולי</v>
      </c>
      <c r="L21" s="42">
        <f t="shared" si="2"/>
        <v>43537</v>
      </c>
      <c r="M21" s="41" t="str">
        <f t="shared" si="3"/>
        <v>חופשה בפריז</v>
      </c>
      <c r="N21" s="35" t="s">
        <v>28</v>
      </c>
      <c r="P21" s="168"/>
      <c r="Q21" s="168"/>
      <c r="R21" s="168"/>
      <c r="S21" s="168"/>
    </row>
    <row r="22" spans="1:19" ht="14.4" x14ac:dyDescent="0.3">
      <c r="A22" s="35">
        <v>1875</v>
      </c>
      <c r="B22" s="35" t="s">
        <v>29</v>
      </c>
      <c r="C22" s="35" t="s">
        <v>11</v>
      </c>
      <c r="D22" s="36">
        <v>43497</v>
      </c>
      <c r="E22" s="37">
        <v>10129</v>
      </c>
      <c r="F22" s="35">
        <v>14</v>
      </c>
      <c r="G22" s="38">
        <v>1.1000000000000001E-3</v>
      </c>
      <c r="H22" s="39">
        <v>22812.44860458418</v>
      </c>
      <c r="I22" s="40">
        <f t="shared" si="0"/>
        <v>39275.440114469333</v>
      </c>
      <c r="J22" s="40">
        <f>VLOOKUP(F22,'[3]נתונים נוספים'!$A$4:$D$9,VLOOKUP(VlookUp!C22,'[3]נתונים נוספים'!$F$4:$G$6,2,0),0)*VlookUp!$B$28*H22</f>
        <v>10607.788601131644</v>
      </c>
      <c r="K22" s="41" t="str">
        <f t="shared" si="1"/>
        <v>פברואר</v>
      </c>
      <c r="L22" s="42">
        <f t="shared" si="2"/>
        <v>44621</v>
      </c>
      <c r="M22" s="41" t="str">
        <f t="shared" si="3"/>
        <v>חופשה באילת</v>
      </c>
      <c r="N22" s="35" t="s">
        <v>29</v>
      </c>
      <c r="P22" s="168"/>
      <c r="Q22" s="168"/>
      <c r="R22" s="168"/>
      <c r="S22" s="168"/>
    </row>
    <row r="23" spans="1:19" ht="14.4" x14ac:dyDescent="0.3">
      <c r="A23" s="35">
        <v>1876</v>
      </c>
      <c r="B23" s="35" t="s">
        <v>30</v>
      </c>
      <c r="C23" s="35" t="s">
        <v>19</v>
      </c>
      <c r="D23" s="36">
        <v>42752</v>
      </c>
      <c r="E23" s="37">
        <v>143689</v>
      </c>
      <c r="F23" s="35">
        <v>13</v>
      </c>
      <c r="G23" s="38">
        <v>2.8999999999999998E-3</v>
      </c>
      <c r="H23" s="39">
        <v>1900016.8003544933</v>
      </c>
      <c r="I23" s="40">
        <f t="shared" si="0"/>
        <v>5428826.7941737426</v>
      </c>
      <c r="J23" s="40">
        <f>VLOOKUP(F23,'[3]נתונים נוספים'!$A$4:$D$9,VLOOKUP(VlookUp!C23,'[3]נתונים נוספים'!$F$4:$G$6,2,0),0)*VlookUp!$B$28*H23</f>
        <v>1266361.1974362698</v>
      </c>
      <c r="K23" s="41" t="str">
        <f t="shared" si="1"/>
        <v>ינואר</v>
      </c>
      <c r="L23" s="42">
        <f t="shared" si="2"/>
        <v>43007</v>
      </c>
      <c r="M23" s="41" t="str">
        <f t="shared" si="3"/>
        <v>ללא מתנה</v>
      </c>
      <c r="N23" s="35" t="s">
        <v>30</v>
      </c>
      <c r="P23" s="168"/>
      <c r="Q23" s="168"/>
      <c r="R23" s="168"/>
      <c r="S23" s="168"/>
    </row>
    <row r="24" spans="1:19" ht="14.4" x14ac:dyDescent="0.3">
      <c r="A24" s="35">
        <v>1877</v>
      </c>
      <c r="B24" s="35" t="s">
        <v>31</v>
      </c>
      <c r="C24" s="35" t="s">
        <v>19</v>
      </c>
      <c r="D24" s="36">
        <v>43140</v>
      </c>
      <c r="E24" s="37">
        <v>25719</v>
      </c>
      <c r="F24" s="35">
        <v>12</v>
      </c>
      <c r="G24" s="38">
        <v>5.7999999999999996E-3</v>
      </c>
      <c r="H24" s="39">
        <v>186489.11906743521</v>
      </c>
      <c r="I24" s="40">
        <f t="shared" si="0"/>
        <v>495496.72236821667</v>
      </c>
      <c r="J24" s="40">
        <f>VLOOKUP(F24,'[3]נתונים נוספים'!$A$4:$D$9,VLOOKUP(VlookUp!C24,'[3]נתונים נוספים'!$F$4:$G$6,2,0),0)*VlookUp!$B$28*H24</f>
        <v>132966.74189508133</v>
      </c>
      <c r="K24" s="41" t="str">
        <f t="shared" si="1"/>
        <v>פברואר</v>
      </c>
      <c r="L24" s="42">
        <f t="shared" si="2"/>
        <v>43394</v>
      </c>
      <c r="M24" s="41" t="str">
        <f t="shared" si="3"/>
        <v>ללא מתנה</v>
      </c>
      <c r="N24" s="35" t="s">
        <v>31</v>
      </c>
      <c r="P24" s="168"/>
      <c r="Q24" s="168"/>
      <c r="R24" s="168"/>
      <c r="S24" s="168"/>
    </row>
    <row r="25" spans="1:19" ht="14.4" x14ac:dyDescent="0.3">
      <c r="A25" s="35">
        <v>1878</v>
      </c>
      <c r="B25" s="35" t="s">
        <v>32</v>
      </c>
      <c r="C25" s="35" t="s">
        <v>9</v>
      </c>
      <c r="D25" s="36">
        <v>42629</v>
      </c>
      <c r="E25" s="37">
        <v>215746</v>
      </c>
      <c r="F25" s="35">
        <v>14</v>
      </c>
      <c r="G25" s="38">
        <v>8.0000000000000004E-4</v>
      </c>
      <c r="H25" s="39">
        <v>1094342.8807251898</v>
      </c>
      <c r="I25" s="40">
        <f t="shared" si="0"/>
        <v>2721471.4099838901</v>
      </c>
      <c r="J25" s="40">
        <f>VLOOKUP(F25,'[3]נתונים נוספים'!$A$4:$D$9,VLOOKUP(VlookUp!C25,'[3]נתונים נוספים'!$F$4:$G$6,2,0),0)*VlookUp!$B$28*H25</f>
        <v>542794.06883969426</v>
      </c>
      <c r="K25" s="41" t="str">
        <f t="shared" si="1"/>
        <v>ספטמבר</v>
      </c>
      <c r="L25" s="42">
        <f t="shared" si="2"/>
        <v>44636</v>
      </c>
      <c r="M25" s="41" t="str">
        <f t="shared" si="3"/>
        <v>סט סירים</v>
      </c>
      <c r="N25" s="35" t="s">
        <v>32</v>
      </c>
      <c r="P25" s="168"/>
      <c r="Q25" s="168"/>
      <c r="R25" s="168"/>
      <c r="S25" s="168"/>
    </row>
    <row r="26" spans="1:19" ht="14.4" x14ac:dyDescent="0.3">
      <c r="A26" s="35">
        <v>1879</v>
      </c>
      <c r="B26" s="35" t="s">
        <v>33</v>
      </c>
      <c r="C26" s="35" t="s">
        <v>19</v>
      </c>
      <c r="D26" s="36">
        <v>40875</v>
      </c>
      <c r="E26" s="37">
        <v>131191</v>
      </c>
      <c r="F26" s="35">
        <v>10</v>
      </c>
      <c r="G26" s="38">
        <v>6.0000000000000001E-3</v>
      </c>
      <c r="H26" s="39">
        <v>203520.29998243746</v>
      </c>
      <c r="I26" s="40">
        <f>(H26-E26)*$B$28*(1-G26)</f>
        <v>222875.50496588278</v>
      </c>
      <c r="J26" s="40">
        <f>VLOOKUP(F26,'[3]נתונים נוספים'!$A$4:$D$9,VLOOKUP(VlookUp!C26,'[3]נתונים נוספים'!$F$4:$G$6,2,0),0)*VlookUp!$B$28*H26</f>
        <v>63091.292994555624</v>
      </c>
      <c r="K26" s="41" t="str">
        <f t="shared" si="1"/>
        <v>נובמבר</v>
      </c>
      <c r="L26" s="42">
        <f t="shared" si="2"/>
        <v>41130</v>
      </c>
      <c r="M26" s="41" t="str">
        <f t="shared" si="3"/>
        <v>ללא מתנה</v>
      </c>
      <c r="N26" s="35" t="s">
        <v>33</v>
      </c>
      <c r="P26" s="168"/>
      <c r="Q26" s="168"/>
      <c r="R26" s="168"/>
      <c r="S26" s="168"/>
    </row>
    <row r="27" spans="1:19" ht="14.4" thickBot="1" x14ac:dyDescent="0.3">
      <c r="P27" s="168"/>
      <c r="Q27" s="168"/>
      <c r="R27" s="168"/>
      <c r="S27" s="168"/>
    </row>
    <row r="28" spans="1:19" ht="14.4" thickBot="1" x14ac:dyDescent="0.3">
      <c r="A28" s="43" t="s">
        <v>137</v>
      </c>
      <c r="B28" s="44">
        <v>3.1</v>
      </c>
      <c r="P28" s="168"/>
      <c r="Q28" s="168"/>
      <c r="R28" s="168"/>
      <c r="S28" s="168"/>
    </row>
    <row r="29" spans="1:19" x14ac:dyDescent="0.25">
      <c r="P29" s="168"/>
      <c r="Q29" s="168"/>
      <c r="R29" s="168"/>
      <c r="S29" s="168"/>
    </row>
    <row r="30" spans="1:19" x14ac:dyDescent="0.25">
      <c r="A30" s="168"/>
      <c r="B30" s="168"/>
      <c r="C30" s="168"/>
      <c r="P30" s="168"/>
      <c r="Q30" s="168"/>
      <c r="R30" s="168"/>
      <c r="S30" s="168"/>
    </row>
    <row r="31" spans="1:19" x14ac:dyDescent="0.25">
      <c r="A31" s="168"/>
      <c r="B31" s="52"/>
      <c r="C31" s="52"/>
      <c r="L31" s="46">
        <f>MIN(L2:L26)</f>
        <v>40688</v>
      </c>
      <c r="P31" s="168"/>
      <c r="Q31" s="168"/>
      <c r="R31" s="168"/>
      <c r="S31" s="168"/>
    </row>
    <row r="32" spans="1:19" ht="14.4" x14ac:dyDescent="0.3">
      <c r="A32" s="168"/>
      <c r="B32" s="168"/>
      <c r="C32" s="168"/>
      <c r="L32" s="47" t="s">
        <v>9</v>
      </c>
      <c r="M32" s="35" t="s">
        <v>9</v>
      </c>
      <c r="P32" s="168"/>
      <c r="Q32" s="168"/>
      <c r="R32" s="168"/>
      <c r="S32" s="168"/>
    </row>
    <row r="33" spans="1:19" ht="14.4" x14ac:dyDescent="0.3">
      <c r="A33" s="168"/>
      <c r="B33" s="168"/>
      <c r="C33" s="168"/>
      <c r="L33" s="48">
        <v>55000</v>
      </c>
      <c r="M33" s="35" t="s">
        <v>11</v>
      </c>
      <c r="P33" s="168"/>
      <c r="Q33" s="168"/>
      <c r="R33" s="168"/>
      <c r="S33" s="168"/>
    </row>
    <row r="34" spans="1:19" x14ac:dyDescent="0.25">
      <c r="A34" s="168"/>
      <c r="B34" s="168"/>
      <c r="C34" s="168"/>
      <c r="L34" s="48">
        <v>2</v>
      </c>
      <c r="M34" s="49">
        <v>65000</v>
      </c>
    </row>
    <row r="35" spans="1:19" x14ac:dyDescent="0.25">
      <c r="A35" s="168"/>
      <c r="B35" s="168"/>
      <c r="C35" s="168"/>
      <c r="H35" s="355">
        <f>MAX(H2:H26)</f>
        <v>3453180.5195543682</v>
      </c>
      <c r="L35" s="48">
        <v>1</v>
      </c>
      <c r="M35" s="49" t="s">
        <v>138</v>
      </c>
    </row>
    <row r="36" spans="1:19" x14ac:dyDescent="0.25">
      <c r="A36" s="168"/>
      <c r="B36" s="168"/>
      <c r="C36" s="168"/>
      <c r="L36" s="48">
        <v>2022</v>
      </c>
      <c r="M36" s="49" t="s">
        <v>139</v>
      </c>
    </row>
    <row r="37" spans="1:19" x14ac:dyDescent="0.25">
      <c r="A37" s="168"/>
      <c r="B37" s="168"/>
      <c r="C37" s="168"/>
      <c r="L37" s="48">
        <v>3</v>
      </c>
      <c r="M37" s="49">
        <v>2012</v>
      </c>
    </row>
    <row r="38" spans="1:19" x14ac:dyDescent="0.25">
      <c r="A38" s="168"/>
      <c r="B38" s="168"/>
      <c r="C38" s="168"/>
      <c r="H38" s="264" t="str">
        <f>VLOOKUP(H35,$H$2:$N$26,7,0)</f>
        <v>LB</v>
      </c>
      <c r="L38" s="48">
        <v>8</v>
      </c>
      <c r="M38" s="49">
        <v>2016</v>
      </c>
    </row>
    <row r="39" spans="1:19" x14ac:dyDescent="0.25">
      <c r="A39" s="168"/>
      <c r="B39" s="168"/>
      <c r="C39" s="168"/>
      <c r="L39" s="48">
        <v>12</v>
      </c>
      <c r="M39" s="49" t="s">
        <v>140</v>
      </c>
    </row>
    <row r="40" spans="1:19" x14ac:dyDescent="0.25">
      <c r="A40" s="168"/>
      <c r="B40" s="168"/>
      <c r="C40" s="168"/>
      <c r="L40" s="48">
        <v>14</v>
      </c>
      <c r="M40" s="49" t="s">
        <v>141</v>
      </c>
    </row>
    <row r="41" spans="1:19" x14ac:dyDescent="0.25">
      <c r="A41" s="168"/>
      <c r="B41" s="256"/>
      <c r="C41" s="168"/>
      <c r="L41" s="48">
        <v>15</v>
      </c>
      <c r="M41" s="49" t="s">
        <v>142</v>
      </c>
    </row>
    <row r="42" spans="1:19" x14ac:dyDescent="0.25">
      <c r="A42" s="168"/>
      <c r="B42" s="168"/>
      <c r="C42" s="168"/>
      <c r="M42" s="49" t="s">
        <v>143</v>
      </c>
    </row>
    <row r="44" spans="1:19" x14ac:dyDescent="0.25">
      <c r="M44" s="49" t="s">
        <v>141</v>
      </c>
    </row>
    <row r="46" spans="1:19" x14ac:dyDescent="0.25">
      <c r="M46" s="51">
        <f>COUNTIF(M2:M26,M44)</f>
        <v>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A292E-8AB1-4E86-B932-53261121C43C}">
  <dimension ref="A1:S46"/>
  <sheetViews>
    <sheetView rightToLeft="1" workbookViewId="0">
      <selection activeCell="X25" sqref="X25"/>
    </sheetView>
  </sheetViews>
  <sheetFormatPr defaultRowHeight="13.8" x14ac:dyDescent="0.25"/>
  <cols>
    <col min="1" max="1" width="8.796875" style="41"/>
    <col min="2" max="2" width="15" style="41" bestFit="1" customWidth="1"/>
    <col min="3" max="3" width="11" style="41" customWidth="1"/>
    <col min="4" max="4" width="14.69921875" style="41" customWidth="1"/>
    <col min="5" max="5" width="10.5" style="41" bestFit="1" customWidth="1"/>
    <col min="6" max="6" width="8.796875" style="41"/>
    <col min="7" max="7" width="0" style="41" hidden="1" customWidth="1"/>
    <col min="8" max="8" width="20.8984375" style="41" hidden="1" customWidth="1"/>
    <col min="9" max="9" width="17.5" style="41" hidden="1" customWidth="1"/>
    <col min="10" max="10" width="16.3984375" style="41" hidden="1" customWidth="1"/>
    <col min="11" max="11" width="0" style="41" hidden="1" customWidth="1"/>
    <col min="12" max="12" width="9.8984375" style="41" hidden="1" customWidth="1"/>
    <col min="13" max="13" width="27.69921875" style="41" hidden="1" customWidth="1"/>
    <col min="14" max="14" width="0" style="41" hidden="1" customWidth="1"/>
    <col min="15" max="17" width="8.796875" style="41"/>
    <col min="18" max="19" width="10.59765625" style="41" bestFit="1" customWidth="1"/>
    <col min="20" max="16384" width="8.796875" style="41"/>
  </cols>
  <sheetData>
    <row r="1" spans="1:19" s="34" customFormat="1" ht="55.8" x14ac:dyDescent="0.3">
      <c r="A1" s="32" t="s">
        <v>0</v>
      </c>
      <c r="B1" s="32" t="s">
        <v>1</v>
      </c>
      <c r="C1" s="32" t="s">
        <v>2</v>
      </c>
      <c r="D1" s="32" t="s">
        <v>3</v>
      </c>
      <c r="E1" s="175" t="s">
        <v>4</v>
      </c>
      <c r="F1" s="32" t="s">
        <v>5</v>
      </c>
      <c r="G1" s="32" t="s">
        <v>6</v>
      </c>
      <c r="H1" s="32" t="s">
        <v>7</v>
      </c>
      <c r="I1" s="33" t="s">
        <v>133</v>
      </c>
      <c r="J1" s="33" t="s">
        <v>134</v>
      </c>
      <c r="K1" s="33" t="s">
        <v>135</v>
      </c>
      <c r="L1" s="33" t="s">
        <v>34</v>
      </c>
      <c r="M1" s="33" t="s">
        <v>136</v>
      </c>
      <c r="N1" s="32" t="s">
        <v>1</v>
      </c>
      <c r="R1" s="171"/>
      <c r="S1" s="171"/>
    </row>
    <row r="2" spans="1:19" ht="14.4" x14ac:dyDescent="0.3">
      <c r="A2" s="35">
        <v>1855</v>
      </c>
      <c r="B2" s="35" t="s">
        <v>8</v>
      </c>
      <c r="C2" s="35" t="s">
        <v>9</v>
      </c>
      <c r="D2" s="36">
        <v>43723</v>
      </c>
      <c r="E2" s="37">
        <v>2500</v>
      </c>
      <c r="F2" s="35">
        <v>10</v>
      </c>
      <c r="G2" s="38">
        <v>8.9999999999999993E-3</v>
      </c>
      <c r="H2" s="39">
        <v>16761.877886011072</v>
      </c>
      <c r="I2" s="40">
        <f t="shared" ref="I2:I25" si="0">(H2-E2)*$B$28*(1-G2)</f>
        <v>43813.915053614619</v>
      </c>
      <c r="J2" s="40">
        <f>VLOOKUP(F2,'[3]נתונים נוספים'!$A$4:$D$9,VLOOKUP(FREQUENCY!C2,'[3]נתונים נוספים'!$F$4:$G$6,2,0),0)*FREQUENCY!$B$28*H2</f>
        <v>7794.2732169951478</v>
      </c>
      <c r="K2" s="41" t="str">
        <f>TEXT(D2,"mmmm")</f>
        <v>ספטמבר</v>
      </c>
      <c r="L2" s="42">
        <f>IF(AND(C2=$L$32,E2&lt;$L$33),DATE(YEAR(D2)+$L$34,MONTH(D2),$L$35),IF(OR(F2=$L$40,F2=$L$41),DATE($L$36,$L$37,DAY(D2)),DATE(YEAR(D2),MONTH(D2)+$L$38,DAY(D2)+$L$39)))</f>
        <v>44440</v>
      </c>
      <c r="M2" s="41" t="str">
        <f>IF(C2=$M$33,IF(E2&lt;=$M$34,$M$35,$M$36),IF(C2=$M$32,IF(YEAR(D2)&lt;=$M$37,$M$39,IF(YEAR(D2)&lt;=$M$38,$M$40,$M$41)),$M$42))</f>
        <v>תווי קניה</v>
      </c>
      <c r="N2" s="41" t="str">
        <f>B2</f>
        <v>NI</v>
      </c>
      <c r="R2" s="172"/>
      <c r="S2" s="173"/>
    </row>
    <row r="3" spans="1:19" ht="14.4" x14ac:dyDescent="0.3">
      <c r="A3" s="35">
        <v>1856</v>
      </c>
      <c r="B3" s="35" t="s">
        <v>10</v>
      </c>
      <c r="C3" s="35" t="s">
        <v>11</v>
      </c>
      <c r="D3" s="36">
        <v>42075</v>
      </c>
      <c r="E3" s="37">
        <v>146726</v>
      </c>
      <c r="F3" s="35">
        <v>13</v>
      </c>
      <c r="G3" s="38">
        <v>2.8999999999999998E-3</v>
      </c>
      <c r="H3" s="39">
        <v>214094.11260178176</v>
      </c>
      <c r="I3" s="40">
        <f t="shared" si="0"/>
        <v>208235.50973323346</v>
      </c>
      <c r="J3" s="40">
        <f>VLOOKUP(F3,'[3]נתונים נוספים'!$A$4:$D$9,VLOOKUP(FREQUENCY!C3,'[3]נתונים נוספים'!$F$4:$G$6,2,0),0)*FREQUENCY!$B$28*H3</f>
        <v>142693.72604908753</v>
      </c>
      <c r="K3" s="41" t="str">
        <f t="shared" ref="K3:K26" si="1">TEXT(D3,"mmmm")</f>
        <v>מרץ</v>
      </c>
      <c r="L3" s="42">
        <f t="shared" ref="L3:L26" si="2">IF(AND(C3=$L$32,E3&lt;$L$33),DATE(YEAR(D3)+$L$34,MONTH(D3),$L$35),IF(OR(F3=$L$40,F3=$L$41),DATE($L$36,$L$37,DAY(D3)),DATE(YEAR(D3),MONTH(D3)+$L$38,DAY(D3)+$L$39)))</f>
        <v>42332</v>
      </c>
      <c r="M3" s="41" t="str">
        <f t="shared" ref="M3:M26" si="3">IF(C3=$M$33,IF(E3&lt;=$M$34,$M$35,$M$36),IF(C3=$M$32,IF(YEAR(D3)&lt;=$M$37,$M$39,IF(YEAR(D3)&lt;=$M$38,$M$40,$M$41)),$M$42))</f>
        <v>חופשה בפריז</v>
      </c>
      <c r="N3" s="41" t="str">
        <f t="shared" ref="N3:N26" si="4">B3</f>
        <v>KF</v>
      </c>
      <c r="R3" s="172"/>
      <c r="S3" s="173"/>
    </row>
    <row r="4" spans="1:19" ht="14.4" x14ac:dyDescent="0.3">
      <c r="A4" s="35">
        <v>1857</v>
      </c>
      <c r="B4" s="35" t="s">
        <v>12</v>
      </c>
      <c r="C4" s="35" t="s">
        <v>9</v>
      </c>
      <c r="D4" s="36">
        <v>43007</v>
      </c>
      <c r="E4" s="37">
        <v>253094</v>
      </c>
      <c r="F4" s="35">
        <v>10</v>
      </c>
      <c r="G4" s="38">
        <v>6.0000000000000001E-3</v>
      </c>
      <c r="H4" s="39">
        <v>307637.33883750002</v>
      </c>
      <c r="I4" s="40">
        <f t="shared" si="0"/>
        <v>168069.84429387259</v>
      </c>
      <c r="J4" s="40">
        <f>VLOOKUP(F4,'[3]נתונים נוספים'!$A$4:$D$9,VLOOKUP(FREQUENCY!C4,'[3]נתונים נוספים'!$F$4:$G$6,2,0),0)*FREQUENCY!$B$28*H4</f>
        <v>143051.36255943749</v>
      </c>
      <c r="K4" s="41" t="str">
        <f t="shared" si="1"/>
        <v>ספטמבר</v>
      </c>
      <c r="L4" s="42">
        <f t="shared" si="2"/>
        <v>43261</v>
      </c>
      <c r="M4" s="41" t="str">
        <f t="shared" si="3"/>
        <v>תווי קניה</v>
      </c>
      <c r="N4" s="41" t="str">
        <f t="shared" si="4"/>
        <v>CC</v>
      </c>
      <c r="R4" s="172"/>
      <c r="S4" s="173"/>
    </row>
    <row r="5" spans="1:19" ht="14.4" x14ac:dyDescent="0.3">
      <c r="A5" s="35">
        <v>1858</v>
      </c>
      <c r="B5" s="35" t="s">
        <v>13</v>
      </c>
      <c r="C5" s="35" t="s">
        <v>9</v>
      </c>
      <c r="D5" s="36">
        <v>42367</v>
      </c>
      <c r="E5" s="37">
        <v>70131</v>
      </c>
      <c r="F5" s="35">
        <v>14</v>
      </c>
      <c r="G5" s="38">
        <v>1E-3</v>
      </c>
      <c r="H5" s="39">
        <v>332458.09982047207</v>
      </c>
      <c r="I5" s="40">
        <f t="shared" si="0"/>
        <v>812400.79543401999</v>
      </c>
      <c r="J5" s="40">
        <f>VLOOKUP(F5,'[3]נתונים נוספים'!$A$4:$D$9,VLOOKUP(FREQUENCY!C5,'[3]נתונים נוספים'!$F$4:$G$6,2,0),0)*FREQUENCY!$B$28*H5</f>
        <v>164899.21751095416</v>
      </c>
      <c r="K5" s="41" t="str">
        <f t="shared" si="1"/>
        <v>דצמבר</v>
      </c>
      <c r="L5" s="42">
        <f t="shared" si="2"/>
        <v>44649</v>
      </c>
      <c r="M5" s="41" t="str">
        <f t="shared" si="3"/>
        <v>סט סירים</v>
      </c>
      <c r="N5" s="41" t="str">
        <f t="shared" si="4"/>
        <v>BJ</v>
      </c>
      <c r="R5" s="172"/>
      <c r="S5" s="173"/>
    </row>
    <row r="6" spans="1:19" ht="14.4" x14ac:dyDescent="0.3">
      <c r="A6" s="35">
        <v>1859</v>
      </c>
      <c r="B6" s="35" t="s">
        <v>14</v>
      </c>
      <c r="C6" s="35" t="s">
        <v>9</v>
      </c>
      <c r="D6" s="36">
        <v>43866</v>
      </c>
      <c r="E6" s="37">
        <v>63372</v>
      </c>
      <c r="F6" s="35">
        <v>15</v>
      </c>
      <c r="G6" s="38">
        <v>1E-3</v>
      </c>
      <c r="H6" s="39">
        <v>1229261.9753939065</v>
      </c>
      <c r="I6" s="40">
        <f t="shared" si="0"/>
        <v>3610644.6647973889</v>
      </c>
      <c r="J6" s="40">
        <f>VLOOKUP(F6,'[3]נתונים נוספים'!$A$4:$D$9,VLOOKUP(FREQUENCY!C6,'[3]נתונים נוספים'!$F$4:$G$6,2,0),0)*FREQUENCY!$B$28*H6</f>
        <v>819303.10660003859</v>
      </c>
      <c r="K6" s="41" t="str">
        <f t="shared" si="1"/>
        <v>פברואר</v>
      </c>
      <c r="L6" s="42">
        <f t="shared" si="2"/>
        <v>44625</v>
      </c>
      <c r="M6" s="41" t="str">
        <f t="shared" si="3"/>
        <v>תווי קניה</v>
      </c>
      <c r="N6" s="41" t="str">
        <f t="shared" si="4"/>
        <v>DE</v>
      </c>
      <c r="R6" s="172"/>
      <c r="S6" s="173"/>
    </row>
    <row r="7" spans="1:19" ht="14.4" x14ac:dyDescent="0.3">
      <c r="A7" s="35">
        <v>1860</v>
      </c>
      <c r="B7" s="35" t="s">
        <v>13</v>
      </c>
      <c r="C7" s="35" t="s">
        <v>11</v>
      </c>
      <c r="D7" s="36">
        <v>43604</v>
      </c>
      <c r="E7" s="37">
        <v>72483</v>
      </c>
      <c r="F7" s="35">
        <v>15</v>
      </c>
      <c r="G7" s="38">
        <v>1E-3</v>
      </c>
      <c r="H7" s="39">
        <v>1877660.4186721272</v>
      </c>
      <c r="I7" s="40">
        <f t="shared" si="0"/>
        <v>5590453.9478857107</v>
      </c>
      <c r="J7" s="40">
        <f>VLOOKUP(F7,'[3]נתונים נוספים'!$A$4:$D$9,VLOOKUP(FREQUENCY!C7,'[3]נתונים נוספים'!$F$4:$G$6,2,0),0)*FREQUENCY!$B$28*H7</f>
        <v>582074.72978835949</v>
      </c>
      <c r="K7" s="41" t="str">
        <f t="shared" si="1"/>
        <v>מאי</v>
      </c>
      <c r="L7" s="42">
        <f t="shared" si="2"/>
        <v>44639</v>
      </c>
      <c r="M7" s="41" t="str">
        <f t="shared" si="3"/>
        <v>חופשה בפריז</v>
      </c>
      <c r="N7" s="41" t="str">
        <f t="shared" si="4"/>
        <v>BJ</v>
      </c>
      <c r="R7" s="172"/>
      <c r="S7" s="173"/>
    </row>
    <row r="8" spans="1:19" ht="14.4" x14ac:dyDescent="0.3">
      <c r="A8" s="35">
        <v>1861</v>
      </c>
      <c r="B8" s="35" t="s">
        <v>15</v>
      </c>
      <c r="C8" s="35" t="s">
        <v>11</v>
      </c>
      <c r="D8" s="36">
        <v>42562</v>
      </c>
      <c r="E8" s="37">
        <v>108877</v>
      </c>
      <c r="F8" s="35">
        <v>13</v>
      </c>
      <c r="G8" s="38">
        <v>2.8999999999999998E-3</v>
      </c>
      <c r="H8" s="39">
        <v>986671.12314671697</v>
      </c>
      <c r="I8" s="40">
        <f t="shared" si="0"/>
        <v>2713270.4125877335</v>
      </c>
      <c r="J8" s="40">
        <f>VLOOKUP(F8,'[3]נתונים נוספים'!$A$4:$D$9,VLOOKUP(FREQUENCY!C8,'[3]נתונים נוספים'!$F$4:$G$6,2,0),0)*FREQUENCY!$B$28*H8</f>
        <v>657616.30357728689</v>
      </c>
      <c r="K8" s="41" t="str">
        <f t="shared" si="1"/>
        <v>יולי</v>
      </c>
      <c r="L8" s="42">
        <f t="shared" si="2"/>
        <v>42817</v>
      </c>
      <c r="M8" s="41" t="str">
        <f t="shared" si="3"/>
        <v>חופשה בפריז</v>
      </c>
      <c r="N8" s="41" t="str">
        <f t="shared" si="4"/>
        <v>CK</v>
      </c>
      <c r="R8" s="172"/>
      <c r="S8" s="173"/>
    </row>
    <row r="9" spans="1:19" ht="14.4" x14ac:dyDescent="0.3">
      <c r="A9" s="35">
        <v>1862</v>
      </c>
      <c r="B9" s="35" t="s">
        <v>16</v>
      </c>
      <c r="C9" s="35" t="s">
        <v>11</v>
      </c>
      <c r="D9" s="36">
        <v>44321</v>
      </c>
      <c r="E9" s="37">
        <v>96681</v>
      </c>
      <c r="F9" s="35">
        <v>10</v>
      </c>
      <c r="G9" s="38">
        <v>7.0000000000000001E-3</v>
      </c>
      <c r="H9" s="39">
        <v>191421.76696540037</v>
      </c>
      <c r="I9" s="40">
        <f t="shared" si="0"/>
        <v>291640.50294959196</v>
      </c>
      <c r="J9" s="40">
        <f>VLOOKUP(F9,'[3]נתונים נוספים'!$A$4:$D$9,VLOOKUP(FREQUENCY!C9,'[3]נתונים נוספים'!$F$4:$G$6,2,0),0)*FREQUENCY!$B$28*H9</f>
        <v>89011.121638911165</v>
      </c>
      <c r="K9" s="41" t="str">
        <f t="shared" si="1"/>
        <v>מאי</v>
      </c>
      <c r="L9" s="42">
        <f t="shared" si="2"/>
        <v>44578</v>
      </c>
      <c r="M9" s="41" t="str">
        <f t="shared" si="3"/>
        <v>חופשה בפריז</v>
      </c>
      <c r="N9" s="41" t="str">
        <f t="shared" si="4"/>
        <v>JK</v>
      </c>
      <c r="R9" s="172"/>
      <c r="S9" s="173"/>
    </row>
    <row r="10" spans="1:19" ht="14.4" x14ac:dyDescent="0.3">
      <c r="A10" s="35">
        <v>1863</v>
      </c>
      <c r="B10" s="35" t="s">
        <v>17</v>
      </c>
      <c r="C10" s="35" t="s">
        <v>11</v>
      </c>
      <c r="D10" s="36">
        <v>43400</v>
      </c>
      <c r="E10" s="37">
        <v>66590</v>
      </c>
      <c r="F10" s="35">
        <v>15</v>
      </c>
      <c r="G10" s="38">
        <v>1E-3</v>
      </c>
      <c r="H10" s="39">
        <v>377756.68354481296</v>
      </c>
      <c r="I10" s="40">
        <f t="shared" si="0"/>
        <v>963652.10226993135</v>
      </c>
      <c r="J10" s="40">
        <f>VLOOKUP(F10,'[3]נתונים נוספים'!$A$4:$D$9,VLOOKUP(FREQUENCY!C10,'[3]נתונים נוספים'!$F$4:$G$6,2,0),0)*FREQUENCY!$B$28*H10</f>
        <v>117104.57189889204</v>
      </c>
      <c r="K10" s="41" t="str">
        <f t="shared" si="1"/>
        <v>אוקטובר</v>
      </c>
      <c r="L10" s="42">
        <f t="shared" si="2"/>
        <v>44647</v>
      </c>
      <c r="M10" s="41" t="str">
        <f t="shared" si="3"/>
        <v>חופשה בפריז</v>
      </c>
      <c r="N10" s="41" t="str">
        <f t="shared" si="4"/>
        <v>DJ</v>
      </c>
      <c r="R10" s="172"/>
      <c r="S10" s="173"/>
    </row>
    <row r="11" spans="1:19" ht="14.4" x14ac:dyDescent="0.3">
      <c r="A11" s="35">
        <v>1864</v>
      </c>
      <c r="B11" s="35" t="s">
        <v>18</v>
      </c>
      <c r="C11" s="35" t="s">
        <v>19</v>
      </c>
      <c r="D11" s="36">
        <v>43977</v>
      </c>
      <c r="E11" s="37">
        <v>224708</v>
      </c>
      <c r="F11" s="35">
        <v>10</v>
      </c>
      <c r="G11" s="38">
        <v>6.0000000000000001E-3</v>
      </c>
      <c r="H11" s="39">
        <v>3453180.5195543682</v>
      </c>
      <c r="I11" s="40">
        <f t="shared" si="0"/>
        <v>9948215.2217548303</v>
      </c>
      <c r="J11" s="40">
        <f>VLOOKUP(F11,'[3]נתונים נוספים'!$A$4:$D$9,VLOOKUP(FREQUENCY!C11,'[3]נתונים נוספים'!$F$4:$G$6,2,0),0)*FREQUENCY!$B$28*H11</f>
        <v>1070485.9610618544</v>
      </c>
      <c r="K11" s="41" t="str">
        <f t="shared" si="1"/>
        <v>מאי</v>
      </c>
      <c r="L11" s="42">
        <f t="shared" si="2"/>
        <v>44234</v>
      </c>
      <c r="M11" s="41" t="str">
        <f t="shared" si="3"/>
        <v>ללא מתנה</v>
      </c>
      <c r="N11" s="41" t="str">
        <f t="shared" si="4"/>
        <v>LB</v>
      </c>
      <c r="R11" s="172"/>
      <c r="S11" s="173"/>
    </row>
    <row r="12" spans="1:19" ht="14.4" x14ac:dyDescent="0.3">
      <c r="A12" s="35">
        <v>1865</v>
      </c>
      <c r="B12" s="35" t="s">
        <v>20</v>
      </c>
      <c r="C12" s="35" t="s">
        <v>9</v>
      </c>
      <c r="D12" s="36">
        <v>44029</v>
      </c>
      <c r="E12" s="37">
        <v>49492</v>
      </c>
      <c r="F12" s="35">
        <v>14</v>
      </c>
      <c r="G12" s="38">
        <v>1.1000000000000001E-3</v>
      </c>
      <c r="H12" s="39">
        <v>2044762.0534205888</v>
      </c>
      <c r="I12" s="40">
        <f t="shared" si="0"/>
        <v>6178533.2947216621</v>
      </c>
      <c r="J12" s="40">
        <f>VLOOKUP(F12,'[3]נתונים נוספים'!$A$4:$D$9,VLOOKUP(FREQUENCY!C12,'[3]נתונים נוספים'!$F$4:$G$6,2,0),0)*FREQUENCY!$B$28*H12</f>
        <v>1014201.9784966122</v>
      </c>
      <c r="K12" s="41" t="str">
        <f t="shared" si="1"/>
        <v>יולי</v>
      </c>
      <c r="L12" s="42">
        <f t="shared" si="2"/>
        <v>44743</v>
      </c>
      <c r="M12" s="41" t="str">
        <f t="shared" si="3"/>
        <v>תווי קניה</v>
      </c>
      <c r="N12" s="41" t="str">
        <f t="shared" si="4"/>
        <v>LM</v>
      </c>
      <c r="R12" s="172"/>
      <c r="S12" s="173"/>
    </row>
    <row r="13" spans="1:19" ht="14.4" x14ac:dyDescent="0.3">
      <c r="A13" s="35">
        <v>1866</v>
      </c>
      <c r="B13" s="35" t="s">
        <v>21</v>
      </c>
      <c r="C13" s="35" t="s">
        <v>9</v>
      </c>
      <c r="D13" s="36">
        <v>40661</v>
      </c>
      <c r="E13" s="37">
        <v>76982</v>
      </c>
      <c r="F13" s="35">
        <v>13</v>
      </c>
      <c r="G13" s="38">
        <v>3.8999999999999998E-3</v>
      </c>
      <c r="H13" s="39">
        <v>2617985.4305046364</v>
      </c>
      <c r="I13" s="40">
        <f t="shared" si="0"/>
        <v>7846389.9030895717</v>
      </c>
      <c r="J13" s="40">
        <f>VLOOKUP(F13,'[3]נתונים נוספים'!$A$4:$D$9,VLOOKUP(FREQUENCY!C13,'[3]נתונים נוספים'!$F$4:$G$6,2,0),0)*FREQUENCY!$B$28*H13</f>
        <v>1866623.6119498059</v>
      </c>
      <c r="K13" s="41" t="str">
        <f t="shared" si="1"/>
        <v>אפריל</v>
      </c>
      <c r="L13" s="42">
        <f t="shared" si="2"/>
        <v>40917</v>
      </c>
      <c r="M13" s="41" t="str">
        <f t="shared" si="3"/>
        <v>כרטיס להופעה</v>
      </c>
      <c r="N13" s="41" t="str">
        <f t="shared" si="4"/>
        <v>BK</v>
      </c>
      <c r="R13" s="172"/>
      <c r="S13" s="173"/>
    </row>
    <row r="14" spans="1:19" ht="14.4" x14ac:dyDescent="0.3">
      <c r="A14" s="35">
        <v>1867</v>
      </c>
      <c r="B14" s="35" t="s">
        <v>22</v>
      </c>
      <c r="C14" s="35" t="s">
        <v>19</v>
      </c>
      <c r="D14" s="36">
        <v>40434</v>
      </c>
      <c r="E14" s="37">
        <v>184883</v>
      </c>
      <c r="F14" s="35">
        <v>10</v>
      </c>
      <c r="G14" s="38">
        <v>6.0000000000000001E-3</v>
      </c>
      <c r="H14" s="39">
        <v>2226133.6383189736</v>
      </c>
      <c r="I14" s="40">
        <f t="shared" si="0"/>
        <v>6289909.7169160852</v>
      </c>
      <c r="J14" s="40">
        <f>VLOOKUP(F14,'[3]נתונים נוספים'!$A$4:$D$9,VLOOKUP(FREQUENCY!C14,'[3]נתונים נוספים'!$F$4:$G$6,2,0),0)*FREQUENCY!$B$28*H14</f>
        <v>690101.42787888192</v>
      </c>
      <c r="K14" s="41" t="str">
        <f t="shared" si="1"/>
        <v>ספטמבר</v>
      </c>
      <c r="L14" s="42">
        <f t="shared" si="2"/>
        <v>40688</v>
      </c>
      <c r="M14" s="41" t="str">
        <f t="shared" si="3"/>
        <v>ללא מתנה</v>
      </c>
      <c r="N14" s="41" t="str">
        <f t="shared" si="4"/>
        <v>DK</v>
      </c>
    </row>
    <row r="15" spans="1:19" ht="14.4" x14ac:dyDescent="0.3">
      <c r="A15" s="35">
        <v>1868</v>
      </c>
      <c r="B15" s="35" t="s">
        <v>23</v>
      </c>
      <c r="C15" s="35" t="s">
        <v>19</v>
      </c>
      <c r="D15" s="36">
        <v>41924</v>
      </c>
      <c r="E15" s="37">
        <v>8780</v>
      </c>
      <c r="F15" s="35">
        <v>10</v>
      </c>
      <c r="G15" s="38">
        <v>8.9999999999999993E-3</v>
      </c>
      <c r="H15" s="39">
        <v>122381.75185310727</v>
      </c>
      <c r="I15" s="40">
        <f t="shared" si="0"/>
        <v>348995.94186793087</v>
      </c>
      <c r="J15" s="40">
        <f>VLOOKUP(F15,'[3]נתונים נוספים'!$A$4:$D$9,VLOOKUP(FREQUENCY!C15,'[3]נתונים נוספים'!$F$4:$G$6,2,0),0)*FREQUENCY!$B$28*H15</f>
        <v>37938.343074463257</v>
      </c>
      <c r="K15" s="41" t="str">
        <f t="shared" si="1"/>
        <v>אוקטובר</v>
      </c>
      <c r="L15" s="42">
        <f t="shared" si="2"/>
        <v>42179</v>
      </c>
      <c r="M15" s="41" t="str">
        <f t="shared" si="3"/>
        <v>ללא מתנה</v>
      </c>
      <c r="N15" s="41" t="str">
        <f t="shared" si="4"/>
        <v>KL</v>
      </c>
    </row>
    <row r="16" spans="1:19" ht="14.4" x14ac:dyDescent="0.3">
      <c r="A16" s="35">
        <v>1869</v>
      </c>
      <c r="B16" s="35" t="s">
        <v>24</v>
      </c>
      <c r="C16" s="35" t="s">
        <v>9</v>
      </c>
      <c r="D16" s="36">
        <v>41231</v>
      </c>
      <c r="E16" s="37">
        <v>46900</v>
      </c>
      <c r="F16" s="35">
        <v>14</v>
      </c>
      <c r="G16" s="38">
        <v>1.1000000000000001E-3</v>
      </c>
      <c r="H16" s="39">
        <v>80582.931834117058</v>
      </c>
      <c r="I16" s="40">
        <f t="shared" si="0"/>
        <v>104302.22988820855</v>
      </c>
      <c r="J16" s="40">
        <f>VLOOKUP(F16,'[3]נתונים נוספים'!$A$4:$D$9,VLOOKUP(FREQUENCY!C16,'[3]נתונים נוספים'!$F$4:$G$6,2,0),0)*FREQUENCY!$B$28*H16</f>
        <v>39969.134189722063</v>
      </c>
      <c r="K16" s="41" t="str">
        <f t="shared" si="1"/>
        <v>נובמבר</v>
      </c>
      <c r="L16" s="42">
        <f t="shared" si="2"/>
        <v>41944</v>
      </c>
      <c r="M16" s="41" t="str">
        <f t="shared" si="3"/>
        <v>כרטיס להופעה</v>
      </c>
      <c r="N16" s="41" t="str">
        <f t="shared" si="4"/>
        <v>NE</v>
      </c>
    </row>
    <row r="17" spans="1:19" ht="14.4" x14ac:dyDescent="0.3">
      <c r="A17" s="35">
        <v>1870</v>
      </c>
      <c r="B17" s="35" t="s">
        <v>25</v>
      </c>
      <c r="C17" s="35" t="s">
        <v>9</v>
      </c>
      <c r="D17" s="36">
        <v>41419</v>
      </c>
      <c r="E17" s="37">
        <v>162174</v>
      </c>
      <c r="F17" s="35">
        <v>14</v>
      </c>
      <c r="G17" s="38">
        <v>8.0000000000000004E-4</v>
      </c>
      <c r="H17" s="39">
        <v>1078268.712803452</v>
      </c>
      <c r="I17" s="40">
        <f t="shared" si="0"/>
        <v>2837621.6948029487</v>
      </c>
      <c r="J17" s="40">
        <f>VLOOKUP(F17,'[3]נתונים נוספים'!$A$4:$D$9,VLOOKUP(FREQUENCY!C17,'[3]נתונים נוספים'!$F$4:$G$6,2,0),0)*FREQUENCY!$B$28*H17</f>
        <v>534821.2815505123</v>
      </c>
      <c r="K17" s="41" t="str">
        <f t="shared" si="1"/>
        <v>מאי</v>
      </c>
      <c r="L17" s="42">
        <f t="shared" si="2"/>
        <v>44645</v>
      </c>
      <c r="M17" s="41" t="str">
        <f t="shared" si="3"/>
        <v>סט סירים</v>
      </c>
      <c r="N17" s="41" t="str">
        <f t="shared" si="4"/>
        <v>MK</v>
      </c>
    </row>
    <row r="18" spans="1:19" ht="14.4" x14ac:dyDescent="0.3">
      <c r="A18" s="35">
        <v>1871</v>
      </c>
      <c r="B18" s="35" t="s">
        <v>20</v>
      </c>
      <c r="C18" s="35" t="s">
        <v>9</v>
      </c>
      <c r="D18" s="36">
        <v>41617</v>
      </c>
      <c r="E18" s="37">
        <v>10321</v>
      </c>
      <c r="F18" s="35">
        <v>14</v>
      </c>
      <c r="G18" s="38">
        <v>1.1000000000000001E-3</v>
      </c>
      <c r="H18" s="39">
        <v>372444.86881914415</v>
      </c>
      <c r="I18" s="40">
        <f t="shared" si="0"/>
        <v>1121349.1509466737</v>
      </c>
      <c r="J18" s="40">
        <f>VLOOKUP(F18,'[3]נתונים נוספים'!$A$4:$D$9,VLOOKUP(FREQUENCY!C18,'[3]נתונים נוספים'!$F$4:$G$6,2,0),0)*FREQUENCY!$B$28*H18</f>
        <v>184732.65493429551</v>
      </c>
      <c r="K18" s="41" t="str">
        <f t="shared" si="1"/>
        <v>דצמבר</v>
      </c>
      <c r="L18" s="42">
        <f t="shared" si="2"/>
        <v>42339</v>
      </c>
      <c r="M18" s="41" t="str">
        <f t="shared" si="3"/>
        <v>סט סירים</v>
      </c>
      <c r="N18" s="41" t="str">
        <f t="shared" si="4"/>
        <v>LM</v>
      </c>
    </row>
    <row r="19" spans="1:19" ht="14.4" x14ac:dyDescent="0.3">
      <c r="A19" s="35">
        <v>1872</v>
      </c>
      <c r="B19" s="35" t="s">
        <v>26</v>
      </c>
      <c r="C19" s="35" t="s">
        <v>9</v>
      </c>
      <c r="D19" s="36">
        <v>43638</v>
      </c>
      <c r="E19" s="37">
        <v>56091</v>
      </c>
      <c r="F19" s="35">
        <v>15</v>
      </c>
      <c r="G19" s="38">
        <v>1E-3</v>
      </c>
      <c r="H19" s="39">
        <v>1453028.3037917621</v>
      </c>
      <c r="I19" s="40">
        <f t="shared" si="0"/>
        <v>4326175.1361127077</v>
      </c>
      <c r="J19" s="40">
        <f>VLOOKUP(F19,'[3]נתונים נוספים'!$A$4:$D$9,VLOOKUP(FREQUENCY!C19,'[3]נתונים נוספים'!$F$4:$G$6,2,0),0)*FREQUENCY!$B$28*H19</f>
        <v>968443.3644772094</v>
      </c>
      <c r="K19" s="41" t="str">
        <f t="shared" si="1"/>
        <v>יוני</v>
      </c>
      <c r="L19" s="42">
        <f t="shared" si="2"/>
        <v>44642</v>
      </c>
      <c r="M19" s="41" t="str">
        <f t="shared" si="3"/>
        <v>תווי קניה</v>
      </c>
      <c r="N19" s="41" t="str">
        <f t="shared" si="4"/>
        <v>FD</v>
      </c>
    </row>
    <row r="20" spans="1:19" ht="14.4" x14ac:dyDescent="0.3">
      <c r="A20" s="35">
        <v>1873</v>
      </c>
      <c r="B20" s="35" t="s">
        <v>27</v>
      </c>
      <c r="C20" s="35" t="s">
        <v>11</v>
      </c>
      <c r="D20" s="36">
        <v>43291</v>
      </c>
      <c r="E20" s="37">
        <v>12866</v>
      </c>
      <c r="F20" s="35">
        <v>10</v>
      </c>
      <c r="G20" s="38">
        <v>8.0000000000000002E-3</v>
      </c>
      <c r="H20" s="39">
        <v>133822.73527755728</v>
      </c>
      <c r="I20" s="40">
        <f t="shared" si="0"/>
        <v>371966.15232554416</v>
      </c>
      <c r="J20" s="40">
        <f>VLOOKUP(F20,'[3]נתונים נוספים'!$A$4:$D$9,VLOOKUP(FREQUENCY!C20,'[3]נתונים נוספים'!$F$4:$G$6,2,0),0)*FREQUENCY!$B$28*H20</f>
        <v>62227.571904064134</v>
      </c>
      <c r="K20" s="41" t="str">
        <f t="shared" si="1"/>
        <v>יולי</v>
      </c>
      <c r="L20" s="42">
        <f t="shared" si="2"/>
        <v>43546</v>
      </c>
      <c r="M20" s="41" t="str">
        <f t="shared" si="3"/>
        <v>חופשה באילת</v>
      </c>
      <c r="N20" s="41" t="str">
        <f t="shared" si="4"/>
        <v>KD</v>
      </c>
      <c r="P20" s="237"/>
      <c r="Q20" s="168"/>
      <c r="R20" s="168"/>
      <c r="S20" s="168"/>
    </row>
    <row r="21" spans="1:19" ht="14.4" x14ac:dyDescent="0.3">
      <c r="A21" s="35">
        <v>1874</v>
      </c>
      <c r="B21" s="35" t="s">
        <v>28</v>
      </c>
      <c r="C21" s="35" t="s">
        <v>11</v>
      </c>
      <c r="D21" s="36">
        <v>43282</v>
      </c>
      <c r="E21" s="37">
        <v>71270</v>
      </c>
      <c r="F21" s="35">
        <v>13</v>
      </c>
      <c r="G21" s="38">
        <v>3.8999999999999998E-3</v>
      </c>
      <c r="H21" s="39">
        <v>142479.52031448073</v>
      </c>
      <c r="I21" s="40">
        <f t="shared" si="0"/>
        <v>219888.58987428818</v>
      </c>
      <c r="J21" s="40">
        <f>VLOOKUP(F21,'[3]נתונים נוספים'!$A$4:$D$9,VLOOKUP(FREQUENCY!C21,'[3]נתונים נוספים'!$F$4:$G$6,2,0),0)*FREQUENCY!$B$28*H21</f>
        <v>94962.600289601411</v>
      </c>
      <c r="K21" s="41" t="str">
        <f t="shared" si="1"/>
        <v>יולי</v>
      </c>
      <c r="L21" s="42">
        <f t="shared" si="2"/>
        <v>43537</v>
      </c>
      <c r="M21" s="41" t="str">
        <f t="shared" si="3"/>
        <v>חופשה בפריז</v>
      </c>
      <c r="N21" s="41" t="str">
        <f t="shared" si="4"/>
        <v>EL</v>
      </c>
      <c r="P21" s="237"/>
      <c r="Q21" s="168">
        <v>10000</v>
      </c>
      <c r="R21" s="168">
        <f t="array" ref="R21:R25">FREQUENCY(E2:E26,Q21:Q24)</f>
        <v>2</v>
      </c>
      <c r="S21" s="168"/>
    </row>
    <row r="22" spans="1:19" ht="14.4" x14ac:dyDescent="0.3">
      <c r="A22" s="35">
        <v>1875</v>
      </c>
      <c r="B22" s="35" t="s">
        <v>29</v>
      </c>
      <c r="C22" s="35" t="s">
        <v>11</v>
      </c>
      <c r="D22" s="36">
        <v>43497</v>
      </c>
      <c r="E22" s="37">
        <v>10129</v>
      </c>
      <c r="F22" s="35">
        <v>14</v>
      </c>
      <c r="G22" s="38">
        <v>1.1000000000000001E-3</v>
      </c>
      <c r="H22" s="39">
        <v>22812.44860458418</v>
      </c>
      <c r="I22" s="40">
        <f t="shared" si="0"/>
        <v>39275.440114469333</v>
      </c>
      <c r="J22" s="40">
        <f>VLOOKUP(F22,'[3]נתונים נוספים'!$A$4:$D$9,VLOOKUP(FREQUENCY!C22,'[3]נתונים נוספים'!$F$4:$G$6,2,0),0)*FREQUENCY!$B$28*H22</f>
        <v>10607.788601131644</v>
      </c>
      <c r="K22" s="41" t="str">
        <f t="shared" si="1"/>
        <v>פברואר</v>
      </c>
      <c r="L22" s="42">
        <f t="shared" si="2"/>
        <v>44621</v>
      </c>
      <c r="M22" s="41" t="str">
        <f t="shared" si="3"/>
        <v>חופשה באילת</v>
      </c>
      <c r="N22" s="41" t="str">
        <f t="shared" si="4"/>
        <v>KK</v>
      </c>
      <c r="P22" s="237"/>
      <c r="Q22" s="168">
        <v>30000</v>
      </c>
      <c r="R22" s="168">
        <v>4</v>
      </c>
      <c r="S22" s="168"/>
    </row>
    <row r="23" spans="1:19" ht="14.4" x14ac:dyDescent="0.3">
      <c r="A23" s="35">
        <v>1876</v>
      </c>
      <c r="B23" s="35" t="s">
        <v>30</v>
      </c>
      <c r="C23" s="35" t="s">
        <v>19</v>
      </c>
      <c r="D23" s="36">
        <v>42752</v>
      </c>
      <c r="E23" s="37">
        <v>143689</v>
      </c>
      <c r="F23" s="35">
        <v>13</v>
      </c>
      <c r="G23" s="38">
        <v>2.8999999999999998E-3</v>
      </c>
      <c r="H23" s="39">
        <v>1900016.8003544933</v>
      </c>
      <c r="I23" s="40">
        <f t="shared" si="0"/>
        <v>5428826.7941737426</v>
      </c>
      <c r="J23" s="40">
        <f>VLOOKUP(F23,'[3]נתונים נוספים'!$A$4:$D$9,VLOOKUP(FREQUENCY!C23,'[3]נתונים נוספים'!$F$4:$G$6,2,0),0)*FREQUENCY!$B$28*H23</f>
        <v>1266361.1974362698</v>
      </c>
      <c r="K23" s="41" t="str">
        <f t="shared" si="1"/>
        <v>ינואר</v>
      </c>
      <c r="L23" s="42">
        <f t="shared" si="2"/>
        <v>43007</v>
      </c>
      <c r="M23" s="41" t="str">
        <f t="shared" si="3"/>
        <v>ללא מתנה</v>
      </c>
      <c r="N23" s="41" t="str">
        <f t="shared" si="4"/>
        <v>MC</v>
      </c>
      <c r="P23" s="237"/>
      <c r="Q23" s="168">
        <v>50000</v>
      </c>
      <c r="R23" s="168">
        <v>2</v>
      </c>
      <c r="S23" s="168"/>
    </row>
    <row r="24" spans="1:19" ht="14.4" x14ac:dyDescent="0.3">
      <c r="A24" s="35">
        <v>1877</v>
      </c>
      <c r="B24" s="35" t="s">
        <v>31</v>
      </c>
      <c r="C24" s="35" t="s">
        <v>19</v>
      </c>
      <c r="D24" s="36">
        <v>43140</v>
      </c>
      <c r="E24" s="37">
        <v>25719</v>
      </c>
      <c r="F24" s="35">
        <v>12</v>
      </c>
      <c r="G24" s="38">
        <v>5.7999999999999996E-3</v>
      </c>
      <c r="H24" s="39">
        <v>186489.11906743521</v>
      </c>
      <c r="I24" s="40">
        <f t="shared" si="0"/>
        <v>495496.72236821667</v>
      </c>
      <c r="J24" s="40">
        <f>VLOOKUP(F24,'[3]נתונים נוספים'!$A$4:$D$9,VLOOKUP(FREQUENCY!C24,'[3]נתונים נוספים'!$F$4:$G$6,2,0),0)*FREQUENCY!$B$28*H24</f>
        <v>132966.74189508133</v>
      </c>
      <c r="K24" s="41" t="str">
        <f t="shared" si="1"/>
        <v>פברואר</v>
      </c>
      <c r="L24" s="42">
        <f t="shared" si="2"/>
        <v>43394</v>
      </c>
      <c r="M24" s="41" t="str">
        <f t="shared" si="3"/>
        <v>ללא מתנה</v>
      </c>
      <c r="N24" s="41" t="str">
        <f t="shared" si="4"/>
        <v>FJ</v>
      </c>
      <c r="P24" s="237"/>
      <c r="Q24" s="168">
        <v>70000</v>
      </c>
      <c r="R24" s="168">
        <v>3</v>
      </c>
      <c r="S24" s="168"/>
    </row>
    <row r="25" spans="1:19" ht="14.4" x14ac:dyDescent="0.3">
      <c r="A25" s="35">
        <v>1878</v>
      </c>
      <c r="B25" s="35" t="s">
        <v>32</v>
      </c>
      <c r="C25" s="35" t="s">
        <v>9</v>
      </c>
      <c r="D25" s="36">
        <v>42629</v>
      </c>
      <c r="E25" s="37">
        <v>215746</v>
      </c>
      <c r="F25" s="35">
        <v>14</v>
      </c>
      <c r="G25" s="38">
        <v>8.0000000000000004E-4</v>
      </c>
      <c r="H25" s="39">
        <v>1094342.8807251898</v>
      </c>
      <c r="I25" s="40">
        <f t="shared" si="0"/>
        <v>2721471.4099838901</v>
      </c>
      <c r="J25" s="40">
        <f>VLOOKUP(F25,'[3]נתונים נוספים'!$A$4:$D$9,VLOOKUP(FREQUENCY!C25,'[3]נתונים נוספים'!$F$4:$G$6,2,0),0)*FREQUENCY!$B$28*H25</f>
        <v>542794.06883969426</v>
      </c>
      <c r="K25" s="41" t="str">
        <f t="shared" si="1"/>
        <v>ספטמבר</v>
      </c>
      <c r="L25" s="42">
        <f t="shared" si="2"/>
        <v>44636</v>
      </c>
      <c r="M25" s="41" t="str">
        <f t="shared" si="3"/>
        <v>סט סירים</v>
      </c>
      <c r="N25" s="41" t="str">
        <f t="shared" si="4"/>
        <v>AI</v>
      </c>
      <c r="P25" s="168"/>
      <c r="Q25" s="168"/>
      <c r="R25" s="264">
        <v>14</v>
      </c>
      <c r="S25" s="168"/>
    </row>
    <row r="26" spans="1:19" ht="14.4" x14ac:dyDescent="0.3">
      <c r="A26" s="35">
        <v>1879</v>
      </c>
      <c r="B26" s="35" t="s">
        <v>33</v>
      </c>
      <c r="C26" s="35" t="s">
        <v>19</v>
      </c>
      <c r="D26" s="36">
        <v>40875</v>
      </c>
      <c r="E26" s="37">
        <v>131191</v>
      </c>
      <c r="F26" s="35">
        <v>10</v>
      </c>
      <c r="G26" s="38">
        <v>6.0000000000000001E-3</v>
      </c>
      <c r="H26" s="39">
        <v>203520.29998243746</v>
      </c>
      <c r="I26" s="40">
        <f>(H26-E26)*$B$28*(1-G26)</f>
        <v>222875.50496588278</v>
      </c>
      <c r="J26" s="40">
        <f>VLOOKUP(F26,'[3]נתונים נוספים'!$A$4:$D$9,VLOOKUP(FREQUENCY!C26,'[3]נתונים נוספים'!$F$4:$G$6,2,0),0)*FREQUENCY!$B$28*H26</f>
        <v>63091.292994555624</v>
      </c>
      <c r="K26" s="41" t="str">
        <f t="shared" si="1"/>
        <v>נובמבר</v>
      </c>
      <c r="L26" s="42">
        <f t="shared" si="2"/>
        <v>41130</v>
      </c>
      <c r="M26" s="41" t="str">
        <f t="shared" si="3"/>
        <v>ללא מתנה</v>
      </c>
      <c r="N26" s="41" t="str">
        <f t="shared" si="4"/>
        <v>GI</v>
      </c>
      <c r="P26" s="168"/>
      <c r="Q26" s="168"/>
      <c r="R26" s="168"/>
      <c r="S26" s="168"/>
    </row>
    <row r="27" spans="1:19" ht="14.4" thickBot="1" x14ac:dyDescent="0.3">
      <c r="P27" s="168"/>
      <c r="Q27" s="168"/>
      <c r="R27" s="168"/>
      <c r="S27" s="257"/>
    </row>
    <row r="28" spans="1:19" ht="14.4" thickBot="1" x14ac:dyDescent="0.3">
      <c r="A28" s="43" t="s">
        <v>137</v>
      </c>
      <c r="B28" s="44">
        <v>3.1</v>
      </c>
    </row>
    <row r="29" spans="1:19" x14ac:dyDescent="0.25">
      <c r="R29" s="41">
        <f>SUM(R21:R25)</f>
        <v>25</v>
      </c>
    </row>
    <row r="30" spans="1:19" x14ac:dyDescent="0.25">
      <c r="A30" s="168"/>
      <c r="B30" s="168"/>
      <c r="C30" s="168"/>
      <c r="D30" s="168"/>
      <c r="E30" s="168"/>
    </row>
    <row r="31" spans="1:19" x14ac:dyDescent="0.25">
      <c r="A31" s="168"/>
      <c r="B31" s="52"/>
      <c r="C31" s="52"/>
      <c r="D31" s="168"/>
      <c r="E31" s="168"/>
      <c r="L31" s="46">
        <f>MIN(L2:L26)</f>
        <v>40688</v>
      </c>
      <c r="R31" s="358">
        <f>R25/R29</f>
        <v>0.56000000000000005</v>
      </c>
    </row>
    <row r="32" spans="1:19" ht="14.4" x14ac:dyDescent="0.3">
      <c r="L32" s="47" t="s">
        <v>9</v>
      </c>
      <c r="M32" s="35" t="s">
        <v>9</v>
      </c>
    </row>
    <row r="33" spans="1:13" ht="14.4" x14ac:dyDescent="0.3">
      <c r="L33" s="48">
        <v>55000</v>
      </c>
      <c r="M33" s="35" t="s">
        <v>11</v>
      </c>
    </row>
    <row r="34" spans="1:13" x14ac:dyDescent="0.25">
      <c r="A34" s="168"/>
      <c r="B34" s="168"/>
      <c r="L34" s="48">
        <v>2</v>
      </c>
      <c r="M34" s="49">
        <v>65000</v>
      </c>
    </row>
    <row r="35" spans="1:13" x14ac:dyDescent="0.25">
      <c r="A35" s="168"/>
      <c r="B35" s="168"/>
      <c r="L35" s="48">
        <v>1</v>
      </c>
      <c r="M35" s="49" t="s">
        <v>138</v>
      </c>
    </row>
    <row r="36" spans="1:13" x14ac:dyDescent="0.25">
      <c r="A36" s="168"/>
      <c r="B36" s="168"/>
      <c r="L36" s="48">
        <v>2022</v>
      </c>
      <c r="M36" s="49" t="s">
        <v>139</v>
      </c>
    </row>
    <row r="37" spans="1:13" x14ac:dyDescent="0.25">
      <c r="A37" s="168"/>
      <c r="B37" s="168"/>
      <c r="L37" s="48">
        <v>3</v>
      </c>
      <c r="M37" s="49">
        <v>2012</v>
      </c>
    </row>
    <row r="38" spans="1:13" x14ac:dyDescent="0.25">
      <c r="A38" s="168"/>
      <c r="B38" s="168"/>
      <c r="L38" s="48">
        <v>8</v>
      </c>
      <c r="M38" s="49">
        <v>2016</v>
      </c>
    </row>
    <row r="39" spans="1:13" x14ac:dyDescent="0.25">
      <c r="A39" s="168"/>
      <c r="B39" s="168"/>
      <c r="L39" s="48">
        <v>12</v>
      </c>
      <c r="M39" s="49" t="s">
        <v>140</v>
      </c>
    </row>
    <row r="40" spans="1:13" x14ac:dyDescent="0.25">
      <c r="A40" s="168"/>
      <c r="B40" s="168"/>
      <c r="L40" s="48">
        <v>14</v>
      </c>
      <c r="M40" s="49" t="s">
        <v>141</v>
      </c>
    </row>
    <row r="41" spans="1:13" x14ac:dyDescent="0.25">
      <c r="A41" s="168"/>
      <c r="B41" s="169"/>
      <c r="L41" s="48">
        <v>15</v>
      </c>
      <c r="M41" s="49" t="s">
        <v>142</v>
      </c>
    </row>
    <row r="42" spans="1:13" x14ac:dyDescent="0.25">
      <c r="M42" s="49" t="s">
        <v>143</v>
      </c>
    </row>
    <row r="44" spans="1:13" x14ac:dyDescent="0.25">
      <c r="M44" s="49" t="s">
        <v>141</v>
      </c>
    </row>
    <row r="46" spans="1:13" x14ac:dyDescent="0.25">
      <c r="M46" s="51">
        <f>COUNTIF(M2:M26,M44)</f>
        <v>4</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EEC90-26D5-4D34-A20A-898E9E2D5398}">
  <dimension ref="A1:Z51"/>
  <sheetViews>
    <sheetView rightToLeft="1" zoomScale="85" zoomScaleNormal="85" workbookViewId="0">
      <selection activeCell="N35" sqref="N35"/>
    </sheetView>
  </sheetViews>
  <sheetFormatPr defaultColWidth="8.69921875" defaultRowHeight="15.6" x14ac:dyDescent="0.3"/>
  <cols>
    <col min="1" max="1" width="11.09765625" style="98" customWidth="1"/>
    <col min="2" max="2" width="14.8984375" style="98" customWidth="1"/>
    <col min="3" max="3" width="10.3984375" style="98" customWidth="1"/>
    <col min="4" max="4" width="13.19921875" style="98" customWidth="1"/>
    <col min="5" max="5" width="13" style="98" customWidth="1"/>
    <col min="6" max="6" width="19" style="98" customWidth="1"/>
    <col min="7" max="7" width="8.69921875" style="84" customWidth="1"/>
    <col min="8" max="8" width="12.19921875" style="84" customWidth="1"/>
    <col min="9" max="9" width="11.19921875" style="84" bestFit="1" customWidth="1"/>
    <col min="10" max="10" width="9.3984375" style="84" bestFit="1" customWidth="1"/>
    <col min="11" max="11" width="13.59765625" style="84" customWidth="1"/>
    <col min="12" max="12" width="21.69921875" style="84" customWidth="1"/>
    <col min="13" max="13" width="13.09765625" style="84" customWidth="1"/>
    <col min="14" max="17" width="14.09765625" style="84" customWidth="1"/>
    <col min="18" max="18" width="11.5" style="84" bestFit="1" customWidth="1"/>
    <col min="19" max="19" width="16.8984375" style="84" bestFit="1" customWidth="1"/>
    <col min="20" max="20" width="13.296875" style="84" bestFit="1" customWidth="1"/>
    <col min="21" max="21" width="13.59765625" style="84" customWidth="1"/>
    <col min="22" max="22" width="12.09765625" style="84" customWidth="1"/>
    <col min="23" max="16384" width="8.69921875" style="84"/>
  </cols>
  <sheetData>
    <row r="1" spans="1:26" s="72" customFormat="1" ht="48" customHeight="1" x14ac:dyDescent="0.25">
      <c r="A1" s="67" t="s">
        <v>35</v>
      </c>
      <c r="B1" s="67" t="s">
        <v>36</v>
      </c>
      <c r="C1" s="67" t="s">
        <v>37</v>
      </c>
      <c r="D1" s="68" t="s">
        <v>38</v>
      </c>
      <c r="E1" s="179" t="s">
        <v>39</v>
      </c>
      <c r="F1" s="67" t="s">
        <v>40</v>
      </c>
      <c r="G1" s="68" t="s">
        <v>41</v>
      </c>
      <c r="H1" s="69" t="s">
        <v>42</v>
      </c>
      <c r="I1" s="180" t="s">
        <v>43</v>
      </c>
      <c r="J1" s="70" t="s">
        <v>123</v>
      </c>
      <c r="K1" s="70" t="s">
        <v>122</v>
      </c>
      <c r="L1" s="70" t="s">
        <v>124</v>
      </c>
      <c r="M1" s="180" t="s">
        <v>131</v>
      </c>
      <c r="N1" s="70" t="s">
        <v>125</v>
      </c>
      <c r="O1" s="70" t="s">
        <v>126</v>
      </c>
      <c r="P1" s="70" t="s">
        <v>127</v>
      </c>
      <c r="Q1" s="71" t="s">
        <v>128</v>
      </c>
      <c r="R1" s="104"/>
      <c r="S1" s="375"/>
      <c r="T1" s="375"/>
      <c r="U1" s="131"/>
      <c r="Y1" s="73" t="s">
        <v>217</v>
      </c>
      <c r="Z1" s="73" t="s">
        <v>218</v>
      </c>
    </row>
    <row r="2" spans="1:26" x14ac:dyDescent="0.3">
      <c r="A2" s="74" t="s">
        <v>44</v>
      </c>
      <c r="B2" s="75">
        <v>44201</v>
      </c>
      <c r="C2" s="74" t="s">
        <v>8</v>
      </c>
      <c r="D2" s="76" t="s">
        <v>45</v>
      </c>
      <c r="E2" s="76" t="s">
        <v>46</v>
      </c>
      <c r="F2" s="76" t="s">
        <v>47</v>
      </c>
      <c r="G2" s="77" t="s">
        <v>48</v>
      </c>
      <c r="H2" s="78">
        <v>0.03</v>
      </c>
      <c r="I2" s="79">
        <v>102356</v>
      </c>
      <c r="J2" s="79">
        <f ca="1">(YEAR(TODAY())-YEAR(B2))*VLOOKUP(F2,'[2]נתונים נוספים'!$A$3:$C$9,3,FALSE)+VLOOKUP(F2,'[2]נתונים נוספים'!$A$3:$C$9,2,FALSE)</f>
        <v>23500</v>
      </c>
      <c r="K2" s="80" t="str">
        <f t="shared" ref="K2:K28" si="0">IF(MONTH(B2)&lt;=$Y$2,$Z$2,IF(MONTH(B2)&lt;=$Y$3,$Z$3,IF(MONTH(B2)&lt;=$Y$4,$Z$4,$Z$5)))</f>
        <v>רבעון 1</v>
      </c>
      <c r="L2" s="80" t="str">
        <f>VLOOKUP(K2,'[2]נתונים נוספים'!$A$14:$M$17,VLOOKUP(E2,'[2]נתונים נוספים'!$Q$8:$R$19,2,FALSE),FALSE)</f>
        <v>מוצר חינם</v>
      </c>
      <c r="M2" s="81">
        <f t="shared" ref="M2:M27" si="1">IF(K2=$U$19,DATE(YEAR(B2)+$V$19,MONTH(B2),DAY(B2)),IF(OR(YEAR(B2)=$U$20,YEAR(B2)=$U$21),DATE(YEAR(B2)+$V$20,MONTH(B2),DAY(B2)+$W$20),DATE(YEAR($U$22)+$V$22,MONTH($U$22),DAY($U$22))))</f>
        <v>46397</v>
      </c>
      <c r="N2" s="80">
        <f t="shared" ref="N2:N28" si="2">IF(WEEKDAY(M2)=$U$23,$V$23,WEEKDAY(M2))</f>
        <v>1</v>
      </c>
      <c r="O2" s="80">
        <f t="shared" ref="O2:O28" si="3">IF(AND(I2&lt;=$V$34,OR(E2=$U$34,E2=$U$35)),$W$34,IF(AND(I2&gt;$V$34,OR(E2=$U$34,E2=$U$35)),$W$35,IF(AND(MONTH(B2)&lt;=$V$36,OR(E2=$U$36,E2=$U$37)),$W$36,$W$38)))</f>
        <v>0</v>
      </c>
      <c r="P2" s="82">
        <f t="shared" ref="P2:P28" ca="1" si="4">(TODAY()-B2)/365*(I2-O2*12)</f>
        <v>322211.07945205481</v>
      </c>
      <c r="Q2" s="83">
        <f t="shared" ref="Q2:Q28" ca="1" si="5">P2*(1-H2)</f>
        <v>312544.74706849316</v>
      </c>
      <c r="R2" s="181"/>
      <c r="S2" s="107"/>
      <c r="T2" s="107"/>
      <c r="Y2" s="85">
        <v>3</v>
      </c>
      <c r="Z2" s="85" t="s">
        <v>219</v>
      </c>
    </row>
    <row r="3" spans="1:26" x14ac:dyDescent="0.3">
      <c r="A3" s="86" t="s">
        <v>49</v>
      </c>
      <c r="B3" s="87">
        <v>44207</v>
      </c>
      <c r="C3" s="86" t="s">
        <v>10</v>
      </c>
      <c r="D3" s="88" t="s">
        <v>50</v>
      </c>
      <c r="E3" s="88" t="s">
        <v>51</v>
      </c>
      <c r="F3" s="88" t="s">
        <v>52</v>
      </c>
      <c r="G3" s="89" t="s">
        <v>53</v>
      </c>
      <c r="H3" s="90">
        <v>0.01</v>
      </c>
      <c r="I3" s="79">
        <v>256968</v>
      </c>
      <c r="J3" s="79">
        <f ca="1">(YEAR(TODAY())-YEAR(B3))*VLOOKUP(F3,'[2]נתונים נוספים'!$A$3:$C$9,3,FALSE)+VLOOKUP(F3,'[2]נתונים נוספים'!$A$3:$C$9,2,FALSE)</f>
        <v>25900</v>
      </c>
      <c r="K3" s="80" t="str">
        <f t="shared" si="0"/>
        <v>רבעון 1</v>
      </c>
      <c r="L3" s="80" t="str">
        <f>VLOOKUP(K3,'[2]נתונים נוספים'!$A$14:$M$17,VLOOKUP(E3,'[2]נתונים נוספים'!$Q$8:$R$19,2,FALSE),FALSE)</f>
        <v>זיכוי ברכישה הבאה</v>
      </c>
      <c r="M3" s="81">
        <f t="shared" si="1"/>
        <v>46403</v>
      </c>
      <c r="N3" s="80" t="str">
        <f t="shared" si="2"/>
        <v>ייקבע מועד אחר</v>
      </c>
      <c r="O3" s="80">
        <f t="shared" si="3"/>
        <v>0</v>
      </c>
      <c r="P3" s="82">
        <f t="shared" ca="1" si="4"/>
        <v>804697.05205479451</v>
      </c>
      <c r="Q3" s="83">
        <f t="shared" ca="1" si="5"/>
        <v>796650.08153424656</v>
      </c>
      <c r="R3" s="105"/>
      <c r="S3" s="105"/>
      <c r="T3" s="105"/>
      <c r="Y3" s="85">
        <v>6</v>
      </c>
      <c r="Z3" s="85" t="s">
        <v>129</v>
      </c>
    </row>
    <row r="4" spans="1:26" x14ac:dyDescent="0.3">
      <c r="A4" s="74" t="s">
        <v>54</v>
      </c>
      <c r="B4" s="75">
        <v>43113</v>
      </c>
      <c r="C4" s="74" t="s">
        <v>12</v>
      </c>
      <c r="D4" s="76" t="s">
        <v>55</v>
      </c>
      <c r="E4" s="76" t="s">
        <v>56</v>
      </c>
      <c r="F4" s="76" t="s">
        <v>57</v>
      </c>
      <c r="G4" s="77" t="s">
        <v>48</v>
      </c>
      <c r="H4" s="78">
        <v>0.05</v>
      </c>
      <c r="I4" s="79">
        <v>110875</v>
      </c>
      <c r="J4" s="79">
        <f ca="1">(YEAR(TODAY())-YEAR(B4))*VLOOKUP(F4,'[2]נתונים נוספים'!$A$3:$C$9,3,FALSE)+VLOOKUP(F4,'[2]נתונים נוספים'!$A$3:$C$9,2,FALSE)</f>
        <v>17500</v>
      </c>
      <c r="K4" s="80" t="str">
        <f t="shared" si="0"/>
        <v>רבעון 1</v>
      </c>
      <c r="L4" s="80" t="str">
        <f>VLOOKUP(K4,'[2]נתונים נוספים'!$A$14:$M$17,VLOOKUP(E4,'[2]נתונים נוספים'!$Q$8:$R$19,2,FALSE),FALSE)</f>
        <v>אין הטבה</v>
      </c>
      <c r="M4" s="81">
        <f t="shared" si="1"/>
        <v>45347</v>
      </c>
      <c r="N4" s="80">
        <f t="shared" si="2"/>
        <v>1</v>
      </c>
      <c r="O4" s="80">
        <f t="shared" si="3"/>
        <v>0</v>
      </c>
      <c r="P4" s="82">
        <f t="shared" ca="1" si="4"/>
        <v>679527.05479452061</v>
      </c>
      <c r="Q4" s="83">
        <f t="shared" ca="1" si="5"/>
        <v>645550.70205479453</v>
      </c>
      <c r="R4" s="105"/>
      <c r="S4" s="105"/>
      <c r="T4" s="105"/>
      <c r="Y4" s="85">
        <v>9</v>
      </c>
      <c r="Z4" s="85" t="s">
        <v>220</v>
      </c>
    </row>
    <row r="5" spans="1:26" x14ac:dyDescent="0.3">
      <c r="A5" s="86" t="s">
        <v>58</v>
      </c>
      <c r="B5" s="87">
        <v>43125</v>
      </c>
      <c r="C5" s="86" t="s">
        <v>13</v>
      </c>
      <c r="D5" s="88" t="s">
        <v>59</v>
      </c>
      <c r="E5" s="88" t="s">
        <v>60</v>
      </c>
      <c r="F5" s="88" t="s">
        <v>61</v>
      </c>
      <c r="G5" s="89" t="s">
        <v>53</v>
      </c>
      <c r="H5" s="90">
        <v>0.01</v>
      </c>
      <c r="I5" s="79">
        <v>236000</v>
      </c>
      <c r="J5" s="79">
        <f ca="1">(YEAR(TODAY())-YEAR(B5))*VLOOKUP(F5,'[2]נתונים נוספים'!$A$3:$C$9,3,FALSE)+VLOOKUP(F5,'[2]נתונים נוספים'!$A$3:$C$9,2,FALSE)</f>
        <v>14000</v>
      </c>
      <c r="K5" s="80" t="str">
        <f t="shared" si="0"/>
        <v>רבעון 1</v>
      </c>
      <c r="L5" s="80" t="str">
        <f>VLOOKUP(K5,'[2]נתונים נוספים'!$A$14:$M$17,VLOOKUP(E5,'[2]נתונים נוספים'!$Q$8:$R$19,2,FALSE),FALSE)</f>
        <v>הנחה על הרכישה הבאה</v>
      </c>
      <c r="M5" s="81">
        <f t="shared" si="1"/>
        <v>45347</v>
      </c>
      <c r="N5" s="80">
        <f t="shared" si="2"/>
        <v>1</v>
      </c>
      <c r="O5" s="80">
        <f t="shared" si="3"/>
        <v>0</v>
      </c>
      <c r="P5" s="82">
        <f t="shared" ca="1" si="4"/>
        <v>1438630.1369863013</v>
      </c>
      <c r="Q5" s="83">
        <f t="shared" ca="1" si="5"/>
        <v>1424243.8356164382</v>
      </c>
      <c r="R5" s="105"/>
      <c r="S5" s="105"/>
      <c r="T5" s="105"/>
      <c r="Y5" s="85"/>
      <c r="Z5" s="85" t="s">
        <v>221</v>
      </c>
    </row>
    <row r="6" spans="1:26" x14ac:dyDescent="0.3">
      <c r="A6" s="74" t="s">
        <v>62</v>
      </c>
      <c r="B6" s="75">
        <v>43857</v>
      </c>
      <c r="C6" s="74" t="s">
        <v>14</v>
      </c>
      <c r="D6" s="76" t="s">
        <v>63</v>
      </c>
      <c r="E6" s="76" t="s">
        <v>64</v>
      </c>
      <c r="F6" s="76" t="s">
        <v>65</v>
      </c>
      <c r="G6" s="77" t="s">
        <v>48</v>
      </c>
      <c r="H6" s="78">
        <v>7.0000000000000007E-2</v>
      </c>
      <c r="I6" s="79">
        <v>100000</v>
      </c>
      <c r="J6" s="79">
        <f ca="1">(YEAR(TODAY())-YEAR(B6))*VLOOKUP(F6,'[2]נתונים נוספים'!$A$3:$C$9,3,FALSE)+VLOOKUP(F6,'[2]נתונים נוספים'!$A$3:$C$9,2,FALSE)</f>
        <v>12200</v>
      </c>
      <c r="K6" s="80" t="str">
        <f t="shared" si="0"/>
        <v>רבעון 1</v>
      </c>
      <c r="L6" s="80" t="str">
        <f>VLOOKUP(K6,'[2]נתונים נוספים'!$A$14:$M$17,VLOOKUP(E6,'[2]נתונים נוספים'!$Q$8:$R$19,2,FALSE),FALSE)</f>
        <v>זיכוי ברכישה הבאה</v>
      </c>
      <c r="M6" s="81">
        <f t="shared" si="1"/>
        <v>46054</v>
      </c>
      <c r="N6" s="80">
        <f t="shared" si="2"/>
        <v>1</v>
      </c>
      <c r="O6" s="80">
        <f t="shared" si="3"/>
        <v>0</v>
      </c>
      <c r="P6" s="82">
        <f t="shared" ca="1" si="4"/>
        <v>409041.09589041094</v>
      </c>
      <c r="Q6" s="83">
        <f t="shared" ca="1" si="5"/>
        <v>380408.21917808213</v>
      </c>
      <c r="R6" s="105"/>
      <c r="S6" s="105"/>
      <c r="T6" s="105"/>
    </row>
    <row r="7" spans="1:26" x14ac:dyDescent="0.3">
      <c r="A7" s="86" t="s">
        <v>66</v>
      </c>
      <c r="B7" s="87">
        <v>43865</v>
      </c>
      <c r="C7" s="86" t="s">
        <v>13</v>
      </c>
      <c r="D7" s="88" t="s">
        <v>67</v>
      </c>
      <c r="E7" s="88" t="s">
        <v>68</v>
      </c>
      <c r="F7" s="88" t="s">
        <v>69</v>
      </c>
      <c r="G7" s="89" t="s">
        <v>48</v>
      </c>
      <c r="H7" s="90">
        <v>7.0000000000000007E-2</v>
      </c>
      <c r="I7" s="79">
        <v>280756</v>
      </c>
      <c r="J7" s="79">
        <f ca="1">(YEAR(TODAY())-YEAR(B7))*VLOOKUP(F7,'[2]נתונים נוספים'!$A$3:$C$9,3,FALSE)+VLOOKUP(F7,'[2]נתונים נוספים'!$A$3:$C$9,2,FALSE)</f>
        <v>16600</v>
      </c>
      <c r="K7" s="80" t="str">
        <f t="shared" si="0"/>
        <v>רבעון 1</v>
      </c>
      <c r="L7" s="80" t="str">
        <f>VLOOKUP(K7,'[2]נתונים נוספים'!$A$14:$M$17,VLOOKUP(E7,'[2]נתונים נוספים'!$Q$8:$R$19,2,FALSE),FALSE)</f>
        <v>מוצר חינם</v>
      </c>
      <c r="M7" s="81">
        <f t="shared" si="1"/>
        <v>46062</v>
      </c>
      <c r="N7" s="80">
        <f t="shared" si="2"/>
        <v>2</v>
      </c>
      <c r="O7" s="80">
        <f t="shared" si="3"/>
        <v>0</v>
      </c>
      <c r="P7" s="82">
        <f t="shared" ca="1" si="4"/>
        <v>1142253.8630136985</v>
      </c>
      <c r="Q7" s="83">
        <f t="shared" ca="1" si="5"/>
        <v>1062296.0926027396</v>
      </c>
    </row>
    <row r="8" spans="1:26" x14ac:dyDescent="0.3">
      <c r="A8" s="74" t="s">
        <v>70</v>
      </c>
      <c r="B8" s="75">
        <v>43509</v>
      </c>
      <c r="C8" s="74" t="s">
        <v>15</v>
      </c>
      <c r="D8" s="76" t="s">
        <v>71</v>
      </c>
      <c r="E8" s="76" t="s">
        <v>60</v>
      </c>
      <c r="F8" s="76" t="s">
        <v>72</v>
      </c>
      <c r="G8" s="77" t="s">
        <v>48</v>
      </c>
      <c r="H8" s="78">
        <v>0.1</v>
      </c>
      <c r="I8" s="79">
        <v>456890</v>
      </c>
      <c r="J8" s="79">
        <f ca="1">(YEAR(TODAY())-YEAR(B8))*VLOOKUP(F8,'[2]נתונים נוספים'!$A$3:$C$9,3,FALSE)+VLOOKUP(F8,'[2]נתונים נוספים'!$A$3:$C$9,2,FALSE)</f>
        <v>12750</v>
      </c>
      <c r="K8" s="80" t="str">
        <f t="shared" si="0"/>
        <v>רבעון 1</v>
      </c>
      <c r="L8" s="80" t="str">
        <f>VLOOKUP(K8,'[2]נתונים נוספים'!$A$14:$M$17,VLOOKUP(E8,'[2]נתונים נוספים'!$Q$8:$R$19,2,FALSE),FALSE)</f>
        <v>הנחה על הרכישה הבאה</v>
      </c>
      <c r="M8" s="81">
        <f t="shared" si="1"/>
        <v>45347</v>
      </c>
      <c r="N8" s="80">
        <f t="shared" si="2"/>
        <v>1</v>
      </c>
      <c r="O8" s="80">
        <f t="shared" si="3"/>
        <v>0</v>
      </c>
      <c r="P8" s="82">
        <f t="shared" ca="1" si="4"/>
        <v>2304478.0547945206</v>
      </c>
      <c r="Q8" s="83">
        <f t="shared" ca="1" si="5"/>
        <v>2074030.2493150686</v>
      </c>
    </row>
    <row r="9" spans="1:26" x14ac:dyDescent="0.3">
      <c r="A9" s="86" t="s">
        <v>73</v>
      </c>
      <c r="B9" s="87">
        <v>43552</v>
      </c>
      <c r="C9" s="86" t="s">
        <v>16</v>
      </c>
      <c r="D9" s="88" t="s">
        <v>74</v>
      </c>
      <c r="E9" s="88" t="s">
        <v>75</v>
      </c>
      <c r="F9" s="88" t="s">
        <v>47</v>
      </c>
      <c r="G9" s="91" t="s">
        <v>76</v>
      </c>
      <c r="H9" s="90">
        <v>0.15</v>
      </c>
      <c r="I9" s="79">
        <v>98653</v>
      </c>
      <c r="J9" s="79">
        <f ca="1">(YEAR(TODAY())-YEAR(B9))*VLOOKUP(F9,'[2]נתונים נוספים'!$A$3:$C$9,3,FALSE)+VLOOKUP(F9,'[2]נתונים נוספים'!$A$3:$C$9,2,FALSE)</f>
        <v>24500</v>
      </c>
      <c r="K9" s="80" t="str">
        <f t="shared" si="0"/>
        <v>רבעון 1</v>
      </c>
      <c r="L9" s="80" t="str">
        <f>VLOOKUP(K9,'[2]נתונים נוספים'!$A$14:$M$17,VLOOKUP(E9,'[2]נתונים נוספים'!$Q$8:$R$19,2,FALSE),FALSE)</f>
        <v>זיכוי ברכישה הבאה</v>
      </c>
      <c r="M9" s="81">
        <f t="shared" si="1"/>
        <v>45347</v>
      </c>
      <c r="N9" s="80">
        <f t="shared" si="2"/>
        <v>1</v>
      </c>
      <c r="O9" s="80">
        <f t="shared" si="3"/>
        <v>0</v>
      </c>
      <c r="P9" s="82">
        <f t="shared" ca="1" si="4"/>
        <v>485967.38082191779</v>
      </c>
      <c r="Q9" s="83">
        <f t="shared" ca="1" si="5"/>
        <v>413072.2736986301</v>
      </c>
    </row>
    <row r="10" spans="1:26" x14ac:dyDescent="0.3">
      <c r="A10" s="74" t="s">
        <v>77</v>
      </c>
      <c r="B10" s="75">
        <v>43558</v>
      </c>
      <c r="C10" s="74" t="s">
        <v>17</v>
      </c>
      <c r="D10" s="76" t="s">
        <v>78</v>
      </c>
      <c r="E10" s="76" t="s">
        <v>79</v>
      </c>
      <c r="F10" s="76" t="s">
        <v>52</v>
      </c>
      <c r="G10" s="77" t="s">
        <v>53</v>
      </c>
      <c r="H10" s="90">
        <v>0.01</v>
      </c>
      <c r="I10" s="79">
        <v>75000</v>
      </c>
      <c r="J10" s="79">
        <f ca="1">(YEAR(TODAY())-YEAR(B10))*VLOOKUP(F10,'[2]נתונים נוספים'!$A$3:$C$9,3,FALSE)+VLOOKUP(F10,'[2]נתונים נוספים'!$A$3:$C$9,2,FALSE)</f>
        <v>26500</v>
      </c>
      <c r="K10" s="80" t="str">
        <f t="shared" si="0"/>
        <v>רבעון 2</v>
      </c>
      <c r="L10" s="80" t="str">
        <f>VLOOKUP(K10,'[2]נתונים נוספים'!$A$14:$M$17,VLOOKUP(E10,'[2]נתונים נוספים'!$Q$8:$R$19,2,FALSE),FALSE)</f>
        <v>מוצר חינם</v>
      </c>
      <c r="M10" s="81">
        <f t="shared" si="1"/>
        <v>45385</v>
      </c>
      <c r="N10" s="80">
        <f t="shared" si="2"/>
        <v>4</v>
      </c>
      <c r="O10" s="80">
        <f t="shared" si="3"/>
        <v>0</v>
      </c>
      <c r="P10" s="82">
        <f t="shared" ca="1" si="4"/>
        <v>368219.17808219179</v>
      </c>
      <c r="Q10" s="83">
        <f t="shared" ca="1" si="5"/>
        <v>364536.98630136985</v>
      </c>
    </row>
    <row r="11" spans="1:26" x14ac:dyDescent="0.3">
      <c r="A11" s="86" t="s">
        <v>80</v>
      </c>
      <c r="B11" s="87">
        <v>43207</v>
      </c>
      <c r="C11" s="86" t="s">
        <v>18</v>
      </c>
      <c r="D11" s="88" t="s">
        <v>81</v>
      </c>
      <c r="E11" s="88" t="s">
        <v>82</v>
      </c>
      <c r="F11" s="88" t="s">
        <v>57</v>
      </c>
      <c r="G11" s="91" t="s">
        <v>76</v>
      </c>
      <c r="H11" s="90">
        <v>0.12</v>
      </c>
      <c r="I11" s="79">
        <v>120332</v>
      </c>
      <c r="J11" s="79">
        <f ca="1">(YEAR(TODAY())-YEAR(B11))*VLOOKUP(F11,'[2]נתונים נוספים'!$A$3:$C$9,3,FALSE)+VLOOKUP(F11,'[2]נתונים נוספים'!$A$3:$C$9,2,FALSE)</f>
        <v>17500</v>
      </c>
      <c r="K11" s="80" t="str">
        <f t="shared" si="0"/>
        <v>רבעון 2</v>
      </c>
      <c r="L11" s="80" t="str">
        <f>VLOOKUP(K11,'[2]נתונים נוספים'!$A$14:$M$17,VLOOKUP(E11,'[2]נתונים נוספים'!$Q$8:$R$19,2,FALSE),FALSE)</f>
        <v>זיכוי ברכישה הבאה</v>
      </c>
      <c r="M11" s="81">
        <f t="shared" si="1"/>
        <v>45033</v>
      </c>
      <c r="N11" s="80">
        <f t="shared" si="2"/>
        <v>2</v>
      </c>
      <c r="O11" s="80">
        <f t="shared" si="3"/>
        <v>0</v>
      </c>
      <c r="P11" s="82">
        <f t="shared" ca="1" si="4"/>
        <v>706497.19452054787</v>
      </c>
      <c r="Q11" s="83">
        <f t="shared" ca="1" si="5"/>
        <v>621717.53117808211</v>
      </c>
    </row>
    <row r="12" spans="1:26" x14ac:dyDescent="0.3">
      <c r="A12" s="74" t="s">
        <v>83</v>
      </c>
      <c r="B12" s="75">
        <v>43213</v>
      </c>
      <c r="C12" s="74" t="s">
        <v>20</v>
      </c>
      <c r="D12" s="76" t="s">
        <v>84</v>
      </c>
      <c r="E12" s="76" t="s">
        <v>64</v>
      </c>
      <c r="F12" s="76" t="s">
        <v>61</v>
      </c>
      <c r="G12" s="77" t="s">
        <v>48</v>
      </c>
      <c r="H12" s="78">
        <v>0.08</v>
      </c>
      <c r="I12" s="79">
        <v>140000</v>
      </c>
      <c r="J12" s="79">
        <f ca="1">(YEAR(TODAY())-YEAR(B12))*VLOOKUP(F12,'[2]נתונים נוספים'!$A$3:$C$9,3,FALSE)+VLOOKUP(F12,'[2]נתונים נוספים'!$A$3:$C$9,2,FALSE)</f>
        <v>14000</v>
      </c>
      <c r="K12" s="80" t="str">
        <f t="shared" si="0"/>
        <v>רבעון 2</v>
      </c>
      <c r="L12" s="80" t="str">
        <f>VLOOKUP(K12,'[2]נתונים נוספים'!$A$14:$M$17,VLOOKUP(E12,'[2]נתונים נוספים'!$Q$8:$R$19,2,FALSE),FALSE)</f>
        <v>אין הטבה</v>
      </c>
      <c r="M12" s="81">
        <f t="shared" si="1"/>
        <v>45039</v>
      </c>
      <c r="N12" s="80">
        <f t="shared" si="2"/>
        <v>1</v>
      </c>
      <c r="O12" s="80">
        <f t="shared" si="3"/>
        <v>0</v>
      </c>
      <c r="P12" s="82">
        <f t="shared" ca="1" si="4"/>
        <v>819671.23287671234</v>
      </c>
      <c r="Q12" s="83">
        <f t="shared" ca="1" si="5"/>
        <v>754097.53424657544</v>
      </c>
    </row>
    <row r="13" spans="1:26" x14ac:dyDescent="0.3">
      <c r="A13" s="86" t="s">
        <v>85</v>
      </c>
      <c r="B13" s="87">
        <v>43216</v>
      </c>
      <c r="C13" s="86" t="s">
        <v>21</v>
      </c>
      <c r="D13" s="88" t="s">
        <v>86</v>
      </c>
      <c r="E13" s="88" t="s">
        <v>64</v>
      </c>
      <c r="F13" s="88" t="s">
        <v>65</v>
      </c>
      <c r="G13" s="89" t="s">
        <v>48</v>
      </c>
      <c r="H13" s="90">
        <v>0.06</v>
      </c>
      <c r="I13" s="79">
        <v>875875</v>
      </c>
      <c r="J13" s="79">
        <f ca="1">(YEAR(TODAY())-YEAR(B13))*VLOOKUP(F13,'[2]נתונים נוספים'!$A$3:$C$9,3,FALSE)+VLOOKUP(F13,'[2]נתונים נוספים'!$A$3:$C$9,2,FALSE)</f>
        <v>13300</v>
      </c>
      <c r="K13" s="80" t="str">
        <f t="shared" si="0"/>
        <v>רבעון 2</v>
      </c>
      <c r="L13" s="80" t="str">
        <f>VLOOKUP(K13,'[2]נתונים נוספים'!$A$14:$M$17,VLOOKUP(E13,'[2]נתונים נוספים'!$Q$8:$R$19,2,FALSE),FALSE)</f>
        <v>אין הטבה</v>
      </c>
      <c r="M13" s="81">
        <f t="shared" si="1"/>
        <v>45042</v>
      </c>
      <c r="N13" s="80">
        <f t="shared" si="2"/>
        <v>4</v>
      </c>
      <c r="O13" s="80">
        <f t="shared" si="3"/>
        <v>0</v>
      </c>
      <c r="P13" s="82">
        <f t="shared" ca="1" si="4"/>
        <v>5120869.1780821914</v>
      </c>
      <c r="Q13" s="83">
        <f t="shared" ca="1" si="5"/>
        <v>4813617.0273972601</v>
      </c>
    </row>
    <row r="14" spans="1:26" x14ac:dyDescent="0.3">
      <c r="A14" s="74" t="s">
        <v>87</v>
      </c>
      <c r="B14" s="75">
        <v>43221</v>
      </c>
      <c r="C14" s="74" t="s">
        <v>22</v>
      </c>
      <c r="D14" s="76" t="s">
        <v>88</v>
      </c>
      <c r="E14" s="76" t="s">
        <v>60</v>
      </c>
      <c r="F14" s="76" t="s">
        <v>69</v>
      </c>
      <c r="G14" s="77" t="s">
        <v>53</v>
      </c>
      <c r="H14" s="90">
        <v>0.01</v>
      </c>
      <c r="I14" s="79">
        <v>200000</v>
      </c>
      <c r="J14" s="79">
        <f ca="1">(YEAR(TODAY())-YEAR(B14))*VLOOKUP(F14,'[2]נתונים נוספים'!$A$3:$C$9,3,FALSE)+VLOOKUP(F14,'[2]נתונים נוספים'!$A$3:$C$9,2,FALSE)</f>
        <v>17400</v>
      </c>
      <c r="K14" s="80" t="str">
        <f t="shared" si="0"/>
        <v>רבעון 2</v>
      </c>
      <c r="L14" s="80" t="str">
        <f>VLOOKUP(K14,'[2]נתונים נוספים'!$A$14:$M$17,VLOOKUP(E14,'[2]נתונים נוספים'!$Q$8:$R$19,2,FALSE),FALSE)</f>
        <v>מוצר חינם</v>
      </c>
      <c r="M14" s="81">
        <f t="shared" si="1"/>
        <v>45047</v>
      </c>
      <c r="N14" s="80">
        <f t="shared" si="2"/>
        <v>2</v>
      </c>
      <c r="O14" s="80">
        <f t="shared" si="3"/>
        <v>0</v>
      </c>
      <c r="P14" s="82">
        <f t="shared" ca="1" si="4"/>
        <v>1166575.3424657534</v>
      </c>
      <c r="Q14" s="83">
        <f t="shared" ca="1" si="5"/>
        <v>1154909.5890410959</v>
      </c>
    </row>
    <row r="15" spans="1:26" x14ac:dyDescent="0.3">
      <c r="A15" s="86" t="s">
        <v>89</v>
      </c>
      <c r="B15" s="87">
        <v>43975</v>
      </c>
      <c r="C15" s="86" t="s">
        <v>23</v>
      </c>
      <c r="D15" s="88" t="s">
        <v>90</v>
      </c>
      <c r="E15" s="88" t="s">
        <v>46</v>
      </c>
      <c r="F15" s="88" t="s">
        <v>72</v>
      </c>
      <c r="G15" s="89" t="s">
        <v>48</v>
      </c>
      <c r="H15" s="90">
        <v>0.05</v>
      </c>
      <c r="I15" s="79">
        <v>360250</v>
      </c>
      <c r="J15" s="79">
        <f ca="1">(YEAR(TODAY())-YEAR(B15))*VLOOKUP(F15,'[2]נתונים נוספים'!$A$3:$C$9,3,FALSE)+VLOOKUP(F15,'[2]נתונים נוספים'!$A$3:$C$9,2,FALSE)</f>
        <v>12600</v>
      </c>
      <c r="K15" s="80" t="str">
        <f t="shared" si="0"/>
        <v>רבעון 2</v>
      </c>
      <c r="L15" s="80" t="str">
        <f>VLOOKUP(K15,'[2]נתונים נוספים'!$A$14:$M$17,VLOOKUP(E15,'[2]נתונים נוספים'!$Q$8:$R$19,2,FALSE),FALSE)</f>
        <v>הנחה על הרכישה הבאה</v>
      </c>
      <c r="M15" s="81">
        <f t="shared" si="1"/>
        <v>45801</v>
      </c>
      <c r="N15" s="80" t="str">
        <f t="shared" si="2"/>
        <v>ייקבע מועד אחר</v>
      </c>
      <c r="O15" s="80">
        <f t="shared" si="3"/>
        <v>0</v>
      </c>
      <c r="P15" s="82">
        <f t="shared" ca="1" si="4"/>
        <v>1357106.1643835616</v>
      </c>
      <c r="Q15" s="83">
        <f t="shared" ca="1" si="5"/>
        <v>1289250.8561643835</v>
      </c>
    </row>
    <row r="16" spans="1:26" x14ac:dyDescent="0.3">
      <c r="A16" s="74" t="s">
        <v>91</v>
      </c>
      <c r="B16" s="75">
        <v>43990</v>
      </c>
      <c r="C16" s="74" t="s">
        <v>24</v>
      </c>
      <c r="D16" s="76" t="s">
        <v>92</v>
      </c>
      <c r="E16" s="76" t="s">
        <v>82</v>
      </c>
      <c r="F16" s="76" t="s">
        <v>47</v>
      </c>
      <c r="G16" s="77" t="s">
        <v>48</v>
      </c>
      <c r="H16" s="78">
        <v>0.05</v>
      </c>
      <c r="I16" s="79">
        <v>422365</v>
      </c>
      <c r="J16" s="79">
        <f ca="1">(YEAR(TODAY())-YEAR(B16))*VLOOKUP(F16,'[2]נתונים נוספים'!$A$3:$C$9,3,FALSE)+VLOOKUP(F16,'[2]נתונים נוספים'!$A$3:$C$9,2,FALSE)</f>
        <v>24000</v>
      </c>
      <c r="K16" s="80" t="str">
        <f t="shared" si="0"/>
        <v>רבעון 2</v>
      </c>
      <c r="L16" s="80" t="str">
        <f>VLOOKUP(K16,'[2]נתונים נוספים'!$A$14:$M$17,VLOOKUP(E16,'[2]נתונים נוספים'!$Q$8:$R$19,2,FALSE),FALSE)</f>
        <v>זיכוי ברכישה הבאה</v>
      </c>
      <c r="M16" s="81">
        <f t="shared" si="1"/>
        <v>45816</v>
      </c>
      <c r="N16" s="80">
        <f t="shared" si="2"/>
        <v>1</v>
      </c>
      <c r="O16" s="80">
        <f t="shared" si="3"/>
        <v>0</v>
      </c>
      <c r="P16" s="82">
        <f t="shared" ca="1" si="4"/>
        <v>1573743.5616438356</v>
      </c>
      <c r="Q16" s="83">
        <f t="shared" ca="1" si="5"/>
        <v>1495056.3835616438</v>
      </c>
    </row>
    <row r="17" spans="1:24" x14ac:dyDescent="0.3">
      <c r="A17" s="86" t="s">
        <v>93</v>
      </c>
      <c r="B17" s="87">
        <v>43997</v>
      </c>
      <c r="C17" s="86" t="s">
        <v>25</v>
      </c>
      <c r="D17" s="88" t="s">
        <v>94</v>
      </c>
      <c r="E17" s="88" t="s">
        <v>75</v>
      </c>
      <c r="F17" s="88" t="s">
        <v>52</v>
      </c>
      <c r="G17" s="89" t="s">
        <v>48</v>
      </c>
      <c r="H17" s="90">
        <v>7.0000000000000007E-2</v>
      </c>
      <c r="I17" s="79">
        <v>123456</v>
      </c>
      <c r="J17" s="79">
        <f ca="1">(YEAR(TODAY())-YEAR(B17))*VLOOKUP(F17,'[2]נתונים נוספים'!$A$3:$C$9,3,FALSE)+VLOOKUP(F17,'[2]נתונים נוספים'!$A$3:$C$9,2,FALSE)</f>
        <v>26200</v>
      </c>
      <c r="K17" s="80" t="str">
        <f t="shared" si="0"/>
        <v>רבעון 2</v>
      </c>
      <c r="L17" s="80" t="str">
        <f>VLOOKUP(K17,'[2]נתונים נוספים'!$A$14:$M$17,VLOOKUP(E17,'[2]נתונים נוספים'!$Q$8:$R$19,2,FALSE),FALSE)</f>
        <v>הנחה על הרכישה הבאה</v>
      </c>
      <c r="M17" s="81">
        <f t="shared" si="1"/>
        <v>45823</v>
      </c>
      <c r="N17" s="80">
        <f t="shared" si="2"/>
        <v>1</v>
      </c>
      <c r="O17" s="80">
        <f t="shared" si="3"/>
        <v>0</v>
      </c>
      <c r="P17" s="82">
        <f t="shared" ca="1" si="4"/>
        <v>457632.78904109588</v>
      </c>
      <c r="Q17" s="83">
        <f t="shared" ca="1" si="5"/>
        <v>425598.49380821915</v>
      </c>
    </row>
    <row r="18" spans="1:24" x14ac:dyDescent="0.3">
      <c r="A18" s="74" t="s">
        <v>95</v>
      </c>
      <c r="B18" s="75">
        <v>43705</v>
      </c>
      <c r="C18" s="74" t="s">
        <v>20</v>
      </c>
      <c r="D18" s="76" t="s">
        <v>96</v>
      </c>
      <c r="E18" s="76" t="s">
        <v>75</v>
      </c>
      <c r="F18" s="76" t="s">
        <v>57</v>
      </c>
      <c r="G18" s="77" t="s">
        <v>48</v>
      </c>
      <c r="H18" s="78">
        <v>0.08</v>
      </c>
      <c r="I18" s="79">
        <v>187654</v>
      </c>
      <c r="J18" s="79">
        <f ca="1">(YEAR(TODAY())-YEAR(B18))*VLOOKUP(F18,'[2]נתונים נוספים'!$A$3:$C$9,3,FALSE)+VLOOKUP(F18,'[2]נתונים נוספים'!$A$3:$C$9,2,FALSE)</f>
        <v>16750</v>
      </c>
      <c r="K18" s="80" t="str">
        <f t="shared" si="0"/>
        <v>רבעון 3</v>
      </c>
      <c r="L18" s="80" t="str">
        <f>VLOOKUP(K18,'[2]נתונים נוספים'!$A$14:$M$17,VLOOKUP(E18,'[2]נתונים נוספים'!$Q$8:$R$19,2,FALSE),FALSE)</f>
        <v>מוצר חינם</v>
      </c>
      <c r="M18" s="81">
        <f t="shared" si="1"/>
        <v>45347</v>
      </c>
      <c r="N18" s="80">
        <f t="shared" si="2"/>
        <v>1</v>
      </c>
      <c r="O18" s="80">
        <f t="shared" si="3"/>
        <v>0</v>
      </c>
      <c r="P18" s="82">
        <f t="shared" ca="1" si="4"/>
        <v>845728.30136986298</v>
      </c>
      <c r="Q18" s="83">
        <f t="shared" ca="1" si="5"/>
        <v>778070.03726027394</v>
      </c>
    </row>
    <row r="19" spans="1:24" x14ac:dyDescent="0.3">
      <c r="A19" s="86" t="s">
        <v>97</v>
      </c>
      <c r="B19" s="87">
        <v>44438</v>
      </c>
      <c r="C19" s="86" t="s">
        <v>26</v>
      </c>
      <c r="D19" s="88" t="s">
        <v>98</v>
      </c>
      <c r="E19" s="88" t="s">
        <v>56</v>
      </c>
      <c r="F19" s="88" t="s">
        <v>61</v>
      </c>
      <c r="G19" s="89" t="s">
        <v>48</v>
      </c>
      <c r="H19" s="90">
        <v>0.05</v>
      </c>
      <c r="I19" s="79">
        <v>440000</v>
      </c>
      <c r="J19" s="79">
        <f ca="1">(YEAR(TODAY())-YEAR(B19))*VLOOKUP(F19,'[2]נתונים נוספים'!$A$3:$C$9,3,FALSE)+VLOOKUP(F19,'[2]נתונים נוספים'!$A$3:$C$9,2,FALSE)</f>
        <v>13250</v>
      </c>
      <c r="K19" s="80" t="str">
        <f t="shared" si="0"/>
        <v>רבעון 3</v>
      </c>
      <c r="L19" s="80" t="str">
        <f>VLOOKUP(K19,'[2]נתונים נוספים'!$A$14:$M$17,VLOOKUP(E19,'[2]נתונים נוספים'!$Q$8:$R$19,2,FALSE),FALSE)</f>
        <v>מוצר חינם</v>
      </c>
      <c r="M19" s="81">
        <f t="shared" si="1"/>
        <v>46634</v>
      </c>
      <c r="N19" s="80" t="str">
        <f t="shared" si="2"/>
        <v>ייקבע מועד אחר</v>
      </c>
      <c r="O19" s="80">
        <f t="shared" si="3"/>
        <v>0</v>
      </c>
      <c r="P19" s="82">
        <f t="shared" ca="1" si="4"/>
        <v>1099397.2602739725</v>
      </c>
      <c r="Q19" s="83">
        <f t="shared" ca="1" si="5"/>
        <v>1044427.3972602738</v>
      </c>
      <c r="U19" s="104" t="s">
        <v>129</v>
      </c>
      <c r="V19" s="104">
        <v>5</v>
      </c>
      <c r="W19" s="105"/>
    </row>
    <row r="20" spans="1:24" x14ac:dyDescent="0.3">
      <c r="A20" s="74" t="s">
        <v>99</v>
      </c>
      <c r="B20" s="75">
        <v>43710</v>
      </c>
      <c r="C20" s="74" t="s">
        <v>27</v>
      </c>
      <c r="D20" s="76" t="s">
        <v>100</v>
      </c>
      <c r="E20" s="76" t="s">
        <v>101</v>
      </c>
      <c r="F20" s="76" t="s">
        <v>69</v>
      </c>
      <c r="G20" s="92" t="s">
        <v>76</v>
      </c>
      <c r="H20" s="78">
        <v>0.12</v>
      </c>
      <c r="I20" s="79">
        <v>365125</v>
      </c>
      <c r="J20" s="79">
        <f ca="1">(YEAR(TODAY())-YEAR(B20))*VLOOKUP(F20,'[2]נתונים נוספים'!$A$3:$C$9,3,FALSE)+VLOOKUP(F20,'[2]נתונים נוספים'!$A$3:$C$9,2,FALSE)</f>
        <v>17000</v>
      </c>
      <c r="K20" s="80" t="str">
        <f t="shared" si="0"/>
        <v>רבעון 3</v>
      </c>
      <c r="L20" s="80" t="str">
        <f>VLOOKUP(K20,'[2]נתונים נוספים'!$A$14:$M$17,VLOOKUP(E20,'[2]נתונים נוספים'!$Q$8:$R$19,2,FALSE),FALSE)</f>
        <v>מוצר חינם</v>
      </c>
      <c r="M20" s="81">
        <f t="shared" si="1"/>
        <v>45347</v>
      </c>
      <c r="N20" s="80">
        <f t="shared" si="2"/>
        <v>1</v>
      </c>
      <c r="O20" s="80">
        <f t="shared" si="3"/>
        <v>0</v>
      </c>
      <c r="P20" s="82">
        <f t="shared" ca="1" si="4"/>
        <v>1640561.6438356165</v>
      </c>
      <c r="Q20" s="83">
        <f t="shared" ca="1" si="5"/>
        <v>1443694.2465753425</v>
      </c>
      <c r="U20" s="105">
        <v>2020</v>
      </c>
      <c r="V20" s="104">
        <v>6</v>
      </c>
      <c r="W20" s="105">
        <v>5</v>
      </c>
    </row>
    <row r="21" spans="1:24" x14ac:dyDescent="0.3">
      <c r="A21" s="86" t="s">
        <v>102</v>
      </c>
      <c r="B21" s="87">
        <v>43722</v>
      </c>
      <c r="C21" s="86" t="s">
        <v>28</v>
      </c>
      <c r="D21" s="88" t="s">
        <v>103</v>
      </c>
      <c r="E21" s="88" t="s">
        <v>75</v>
      </c>
      <c r="F21" s="88" t="s">
        <v>72</v>
      </c>
      <c r="G21" s="89" t="s">
        <v>48</v>
      </c>
      <c r="H21" s="90">
        <v>7.0000000000000007E-2</v>
      </c>
      <c r="I21" s="79">
        <v>321987</v>
      </c>
      <c r="J21" s="79">
        <f ca="1">(YEAR(TODAY())-YEAR(B21))*VLOOKUP(F21,'[2]נתונים נוספים'!$A$3:$C$9,3,FALSE)+VLOOKUP(F21,'[2]נתונים נוספים'!$A$3:$C$9,2,FALSE)</f>
        <v>12750</v>
      </c>
      <c r="K21" s="80" t="str">
        <f t="shared" si="0"/>
        <v>רבעון 3</v>
      </c>
      <c r="L21" s="80" t="str">
        <f>VLOOKUP(K21,'[2]נתונים נוספים'!$A$14:$M$17,VLOOKUP(E21,'[2]נתונים נוספים'!$Q$8:$R$19,2,FALSE),FALSE)</f>
        <v>מוצר חינם</v>
      </c>
      <c r="M21" s="81">
        <f t="shared" si="1"/>
        <v>45347</v>
      </c>
      <c r="N21" s="80">
        <f t="shared" si="2"/>
        <v>1</v>
      </c>
      <c r="O21" s="80">
        <f t="shared" si="3"/>
        <v>0</v>
      </c>
      <c r="P21" s="82">
        <f t="shared" ca="1" si="4"/>
        <v>1436150.2356164383</v>
      </c>
      <c r="Q21" s="83">
        <f t="shared" ca="1" si="5"/>
        <v>1335619.7191232876</v>
      </c>
      <c r="U21" s="105">
        <v>2021</v>
      </c>
      <c r="V21" s="105"/>
      <c r="W21" s="105"/>
    </row>
    <row r="22" spans="1:24" x14ac:dyDescent="0.3">
      <c r="A22" s="74" t="s">
        <v>104</v>
      </c>
      <c r="B22" s="75">
        <v>43365</v>
      </c>
      <c r="C22" s="74" t="s">
        <v>29</v>
      </c>
      <c r="D22" s="76" t="s">
        <v>105</v>
      </c>
      <c r="E22" s="76" t="s">
        <v>60</v>
      </c>
      <c r="F22" s="76" t="s">
        <v>47</v>
      </c>
      <c r="G22" s="77" t="s">
        <v>48</v>
      </c>
      <c r="H22" s="78">
        <v>0.08</v>
      </c>
      <c r="I22" s="79">
        <v>133455</v>
      </c>
      <c r="J22" s="79">
        <f ca="1">(YEAR(TODAY())-YEAR(B22))*VLOOKUP(F22,'[2]נתונים נוספים'!$A$3:$C$9,3,FALSE)+VLOOKUP(F22,'[2]נתונים נוספים'!$A$3:$C$9,2,FALSE)</f>
        <v>25000</v>
      </c>
      <c r="K22" s="80" t="str">
        <f t="shared" si="0"/>
        <v>רבעון 3</v>
      </c>
      <c r="L22" s="80" t="str">
        <f>VLOOKUP(K22,'[2]נתונים נוספים'!$A$14:$M$17,VLOOKUP(E22,'[2]נתונים נוספים'!$Q$8:$R$19,2,FALSE),FALSE)</f>
        <v>הנחה על הרכישה הבאה</v>
      </c>
      <c r="M22" s="81">
        <f t="shared" si="1"/>
        <v>45347</v>
      </c>
      <c r="N22" s="80">
        <f t="shared" si="2"/>
        <v>1</v>
      </c>
      <c r="O22" s="80">
        <f t="shared" si="3"/>
        <v>0</v>
      </c>
      <c r="P22" s="82">
        <f t="shared" ca="1" si="4"/>
        <v>725775.82191780827</v>
      </c>
      <c r="Q22" s="83">
        <f t="shared" ca="1" si="5"/>
        <v>667713.75616438361</v>
      </c>
      <c r="U22" s="121">
        <v>44982</v>
      </c>
      <c r="V22" s="104">
        <v>1</v>
      </c>
      <c r="W22" s="105"/>
    </row>
    <row r="23" spans="1:24" x14ac:dyDescent="0.3">
      <c r="A23" s="86" t="s">
        <v>106</v>
      </c>
      <c r="B23" s="87">
        <v>43389</v>
      </c>
      <c r="C23" s="86" t="s">
        <v>30</v>
      </c>
      <c r="D23" s="88" t="s">
        <v>107</v>
      </c>
      <c r="E23" s="88" t="s">
        <v>108</v>
      </c>
      <c r="F23" s="88" t="s">
        <v>52</v>
      </c>
      <c r="G23" s="89" t="s">
        <v>48</v>
      </c>
      <c r="H23" s="90">
        <v>7.0000000000000007E-2</v>
      </c>
      <c r="I23" s="79">
        <v>170000</v>
      </c>
      <c r="J23" s="79">
        <f ca="1">(YEAR(TODAY())-YEAR(B23))*VLOOKUP(F23,'[2]נתונים נוספים'!$A$3:$C$9,3,FALSE)+VLOOKUP(F23,'[2]נתונים נוספים'!$A$3:$C$9,2,FALSE)</f>
        <v>26800</v>
      </c>
      <c r="K23" s="80" t="str">
        <f t="shared" si="0"/>
        <v>רבעון 4</v>
      </c>
      <c r="L23" s="80" t="str">
        <f>VLOOKUP(K23,'[2]נתונים נוספים'!$A$14:$M$17,VLOOKUP(E23,'[2]נתונים נוספים'!$Q$8:$R$19,2,FALSE),FALSE)</f>
        <v>זיכוי ברכישה הבאה</v>
      </c>
      <c r="M23" s="81">
        <f t="shared" si="1"/>
        <v>45347</v>
      </c>
      <c r="N23" s="80">
        <f t="shared" si="2"/>
        <v>1</v>
      </c>
      <c r="O23" s="80">
        <f t="shared" si="3"/>
        <v>0</v>
      </c>
      <c r="P23" s="82">
        <f t="shared" ca="1" si="4"/>
        <v>913342.46575342468</v>
      </c>
      <c r="Q23" s="83">
        <f t="shared" ca="1" si="5"/>
        <v>849408.49315068487</v>
      </c>
      <c r="U23" s="105">
        <v>7</v>
      </c>
      <c r="V23" s="105" t="s">
        <v>130</v>
      </c>
      <c r="W23" s="105"/>
    </row>
    <row r="24" spans="1:24" x14ac:dyDescent="0.3">
      <c r="A24" s="74" t="s">
        <v>109</v>
      </c>
      <c r="B24" s="75">
        <v>43405</v>
      </c>
      <c r="C24" s="74" t="s">
        <v>31</v>
      </c>
      <c r="D24" s="76" t="s">
        <v>110</v>
      </c>
      <c r="E24" s="88" t="s">
        <v>68</v>
      </c>
      <c r="F24" s="76" t="s">
        <v>57</v>
      </c>
      <c r="G24" s="77" t="s">
        <v>48</v>
      </c>
      <c r="H24" s="78">
        <v>0.05</v>
      </c>
      <c r="I24" s="79">
        <v>258000</v>
      </c>
      <c r="J24" s="79">
        <f ca="1">(YEAR(TODAY())-YEAR(B24))*VLOOKUP(F24,'[2]נתונים נוספים'!$A$3:$C$9,3,FALSE)+VLOOKUP(F24,'[2]נתונים נוספים'!$A$3:$C$9,2,FALSE)</f>
        <v>17500</v>
      </c>
      <c r="K24" s="80" t="str">
        <f t="shared" si="0"/>
        <v>רבעון 4</v>
      </c>
      <c r="L24" s="80" t="str">
        <f>VLOOKUP(K24,'[2]נתונים נוספים'!$A$14:$M$17,VLOOKUP(E24,'[2]נתונים נוספים'!$Q$8:$R$19,2,FALSE),FALSE)</f>
        <v>מוצר חינם</v>
      </c>
      <c r="M24" s="81">
        <f t="shared" si="1"/>
        <v>45347</v>
      </c>
      <c r="N24" s="80">
        <f t="shared" si="2"/>
        <v>1</v>
      </c>
      <c r="O24" s="80">
        <f t="shared" si="3"/>
        <v>0</v>
      </c>
      <c r="P24" s="82">
        <f t="shared" ca="1" si="4"/>
        <v>1374821.9178082193</v>
      </c>
      <c r="Q24" s="83">
        <f t="shared" ca="1" si="5"/>
        <v>1306080.8219178084</v>
      </c>
    </row>
    <row r="25" spans="1:24" x14ac:dyDescent="0.3">
      <c r="A25" s="86" t="s">
        <v>111</v>
      </c>
      <c r="B25" s="87">
        <v>43416</v>
      </c>
      <c r="C25" s="86" t="s">
        <v>32</v>
      </c>
      <c r="D25" s="88" t="s">
        <v>112</v>
      </c>
      <c r="E25" s="88" t="s">
        <v>113</v>
      </c>
      <c r="F25" s="88" t="s">
        <v>61</v>
      </c>
      <c r="G25" s="89" t="s">
        <v>53</v>
      </c>
      <c r="H25" s="90">
        <v>0.01</v>
      </c>
      <c r="I25" s="79">
        <v>145685</v>
      </c>
      <c r="J25" s="79">
        <f ca="1">(YEAR(TODAY())-YEAR(B25))*VLOOKUP(F25,'[2]נתונים נוספים'!$A$3:$C$9,3,FALSE)+VLOOKUP(F25,'[2]נתונים נוספים'!$A$3:$C$9,2,FALSE)</f>
        <v>14000</v>
      </c>
      <c r="K25" s="80" t="str">
        <f t="shared" si="0"/>
        <v>רבעון 4</v>
      </c>
      <c r="L25" s="80" t="str">
        <f>VLOOKUP(K25,'[2]נתונים נוספים'!$A$14:$M$17,VLOOKUP(E25,'[2]נתונים נוספים'!$Q$8:$R$19,2,FALSE),FALSE)</f>
        <v>מוצר חינם</v>
      </c>
      <c r="M25" s="81">
        <f t="shared" si="1"/>
        <v>45347</v>
      </c>
      <c r="N25" s="80">
        <f t="shared" si="2"/>
        <v>1</v>
      </c>
      <c r="O25" s="80">
        <f t="shared" si="3"/>
        <v>0</v>
      </c>
      <c r="P25" s="82">
        <f t="shared" ca="1" si="4"/>
        <v>771930.93150684936</v>
      </c>
      <c r="Q25" s="83">
        <f t="shared" ca="1" si="5"/>
        <v>764211.62219178083</v>
      </c>
      <c r="U25" s="105"/>
      <c r="V25" s="105"/>
      <c r="W25" s="105"/>
      <c r="X25" s="105"/>
    </row>
    <row r="26" spans="1:24" x14ac:dyDescent="0.3">
      <c r="A26" s="74" t="s">
        <v>114</v>
      </c>
      <c r="B26" s="75">
        <v>43423</v>
      </c>
      <c r="C26" s="74" t="s">
        <v>33</v>
      </c>
      <c r="D26" s="76" t="s">
        <v>115</v>
      </c>
      <c r="E26" s="76" t="s">
        <v>56</v>
      </c>
      <c r="F26" s="76" t="s">
        <v>65</v>
      </c>
      <c r="G26" s="77" t="s">
        <v>53</v>
      </c>
      <c r="H26" s="90">
        <v>0.01</v>
      </c>
      <c r="I26" s="79">
        <v>36000</v>
      </c>
      <c r="J26" s="79">
        <f ca="1">(YEAR(TODAY())-YEAR(B26))*VLOOKUP(F26,'[2]נתונים נוספים'!$A$3:$C$9,3,FALSE)+VLOOKUP(F26,'[2]נתונים נוספים'!$A$3:$C$9,2,FALSE)</f>
        <v>13300</v>
      </c>
      <c r="K26" s="80" t="str">
        <f t="shared" si="0"/>
        <v>רבעון 4</v>
      </c>
      <c r="L26" s="80" t="str">
        <f>VLOOKUP(K26,'[2]נתונים נוספים'!$A$14:$M$17,VLOOKUP(E26,'[2]נתונים נוספים'!$Q$8:$R$19,2,FALSE),FALSE)</f>
        <v>זיכוי ברכישה הבאה</v>
      </c>
      <c r="M26" s="81">
        <f t="shared" si="1"/>
        <v>45347</v>
      </c>
      <c r="N26" s="80">
        <f t="shared" si="2"/>
        <v>1</v>
      </c>
      <c r="O26" s="80">
        <f t="shared" si="3"/>
        <v>0</v>
      </c>
      <c r="P26" s="82">
        <f t="shared" ca="1" si="4"/>
        <v>190060.27397260276</v>
      </c>
      <c r="Q26" s="83">
        <f t="shared" ca="1" si="5"/>
        <v>188159.67123287675</v>
      </c>
      <c r="U26" s="111"/>
      <c r="V26" s="112"/>
      <c r="W26" s="112"/>
      <c r="X26" s="105"/>
    </row>
    <row r="27" spans="1:24" x14ac:dyDescent="0.3">
      <c r="A27" s="86" t="s">
        <v>116</v>
      </c>
      <c r="B27" s="87">
        <v>43426</v>
      </c>
      <c r="C27" s="86" t="s">
        <v>117</v>
      </c>
      <c r="D27" s="88" t="s">
        <v>118</v>
      </c>
      <c r="E27" s="88" t="s">
        <v>79</v>
      </c>
      <c r="F27" s="88" t="s">
        <v>69</v>
      </c>
      <c r="G27" s="91" t="s">
        <v>76</v>
      </c>
      <c r="H27" s="90">
        <v>0.2</v>
      </c>
      <c r="I27" s="79">
        <v>77000</v>
      </c>
      <c r="J27" s="79">
        <f ca="1">(YEAR(TODAY())-YEAR(B27))*VLOOKUP(F27,'[2]נתונים נוספים'!$A$3:$C$9,3,FALSE)+VLOOKUP(F27,'[2]נתונים נוספים'!$A$3:$C$9,2,FALSE)</f>
        <v>17400</v>
      </c>
      <c r="K27" s="80" t="str">
        <f t="shared" si="0"/>
        <v>רבעון 4</v>
      </c>
      <c r="L27" s="80" t="str">
        <f>VLOOKUP(K27,'[2]נתונים נוספים'!$A$14:$M$17,VLOOKUP(E27,'[2]נתונים נוספים'!$Q$8:$R$19,2,FALSE),FALSE)</f>
        <v>אין הטבה</v>
      </c>
      <c r="M27" s="81">
        <f t="shared" si="1"/>
        <v>45347</v>
      </c>
      <c r="N27" s="80">
        <f t="shared" si="2"/>
        <v>1</v>
      </c>
      <c r="O27" s="80">
        <f t="shared" si="3"/>
        <v>0</v>
      </c>
      <c r="P27" s="82">
        <f t="shared" ca="1" si="4"/>
        <v>405884.9315068493</v>
      </c>
      <c r="Q27" s="83">
        <f t="shared" ca="1" si="5"/>
        <v>324707.94520547945</v>
      </c>
      <c r="U27" s="116"/>
      <c r="V27" s="105"/>
      <c r="W27" s="105"/>
      <c r="X27" s="105"/>
    </row>
    <row r="28" spans="1:24" x14ac:dyDescent="0.3">
      <c r="A28" s="93" t="s">
        <v>119</v>
      </c>
      <c r="B28" s="94">
        <v>44525</v>
      </c>
      <c r="C28" s="93" t="s">
        <v>120</v>
      </c>
      <c r="D28" s="95" t="s">
        <v>121</v>
      </c>
      <c r="E28" s="95" t="s">
        <v>101</v>
      </c>
      <c r="F28" s="95" t="s">
        <v>72</v>
      </c>
      <c r="G28" s="96" t="s">
        <v>48</v>
      </c>
      <c r="H28" s="97">
        <v>0.05</v>
      </c>
      <c r="I28" s="79">
        <v>280000</v>
      </c>
      <c r="J28" s="79">
        <f ca="1">(YEAR(TODAY())-YEAR(B28))*VLOOKUP(F28,'[2]נתונים נוספים'!$A$3:$C$9,3,FALSE)+VLOOKUP(F28,'[2]נתונים נוספים'!$A$3:$C$9,2,FALSE)</f>
        <v>12450</v>
      </c>
      <c r="K28" s="80" t="str">
        <f t="shared" si="0"/>
        <v>רבעון 4</v>
      </c>
      <c r="L28" s="80" t="str">
        <f>VLOOKUP(K28,'[2]נתונים נוספים'!$A$14:$M$17,VLOOKUP(E28,'[2]נתונים נוספים'!$Q$8:$R$19,2,FALSE),FALSE)</f>
        <v>אין הטבה</v>
      </c>
      <c r="M28" s="81">
        <f>IF(K28=$U$19,DATE(YEAR(B28)+$V$19,MONTH(B28),DAY(B28)),IF(OR(YEAR(B28)=$U$20,YEAR(B28)=$U$21),DATE(YEAR(B28)+$V$20,MONTH(B28),DAY(B28)+$W$20),"X"))</f>
        <v>46721</v>
      </c>
      <c r="N28" s="80">
        <f t="shared" si="2"/>
        <v>3</v>
      </c>
      <c r="O28" s="80">
        <f t="shared" si="3"/>
        <v>0</v>
      </c>
      <c r="P28" s="258">
        <f t="shared" ca="1" si="4"/>
        <v>632876.71232876717</v>
      </c>
      <c r="Q28" s="83">
        <f t="shared" ca="1" si="5"/>
        <v>601232.87671232875</v>
      </c>
      <c r="U28" s="122"/>
      <c r="V28" s="105"/>
      <c r="W28" s="105"/>
      <c r="X28" s="105"/>
    </row>
    <row r="29" spans="1:24" x14ac:dyDescent="0.3">
      <c r="P29" s="105"/>
      <c r="Q29" s="105"/>
      <c r="R29" s="105"/>
      <c r="S29" s="105"/>
      <c r="U29" s="122"/>
      <c r="V29" s="105"/>
      <c r="W29" s="105"/>
      <c r="X29" s="105"/>
    </row>
    <row r="30" spans="1:24" x14ac:dyDescent="0.3">
      <c r="I30" s="83">
        <f>SUM(I2:I28)</f>
        <v>6374682</v>
      </c>
      <c r="L30" s="107"/>
      <c r="M30" s="105"/>
      <c r="N30" s="107"/>
      <c r="O30" s="105"/>
      <c r="P30" s="105"/>
      <c r="Q30" s="105"/>
      <c r="R30" s="105"/>
      <c r="S30" s="105"/>
      <c r="U30" s="105"/>
      <c r="V30" s="105"/>
      <c r="W30" s="105"/>
      <c r="X30" s="105"/>
    </row>
    <row r="31" spans="1:24" x14ac:dyDescent="0.3">
      <c r="P31" s="110"/>
      <c r="Q31" s="110"/>
      <c r="R31" s="105"/>
      <c r="S31" s="105"/>
    </row>
    <row r="32" spans="1:24" ht="17.399999999999999" x14ac:dyDescent="0.45">
      <c r="F32" s="382"/>
      <c r="G32" s="382"/>
      <c r="H32" s="382"/>
      <c r="I32" s="382"/>
      <c r="J32" s="382"/>
      <c r="K32" s="382"/>
      <c r="L32" s="382"/>
      <c r="M32" s="382"/>
      <c r="N32" s="108"/>
      <c r="P32" s="114"/>
      <c r="Q32" s="114"/>
      <c r="R32" s="105"/>
      <c r="S32" s="105"/>
    </row>
    <row r="33" spans="1:23" x14ac:dyDescent="0.3">
      <c r="G33" s="98"/>
      <c r="H33" s="98"/>
      <c r="I33" s="98"/>
      <c r="J33" s="98"/>
      <c r="K33" s="98"/>
      <c r="L33" s="98"/>
      <c r="M33" s="98"/>
      <c r="N33" s="98"/>
      <c r="O33" s="98"/>
      <c r="P33" s="120"/>
      <c r="Q33" s="120"/>
      <c r="R33" s="105"/>
      <c r="S33" s="105"/>
    </row>
    <row r="34" spans="1:23" ht="31.2" x14ac:dyDescent="0.3">
      <c r="A34" s="109"/>
      <c r="B34" s="106"/>
      <c r="C34" s="106"/>
      <c r="D34" s="106"/>
      <c r="E34" s="106"/>
      <c r="F34" s="106"/>
      <c r="G34" s="106"/>
      <c r="H34" s="106"/>
      <c r="I34" s="106"/>
      <c r="J34" s="106"/>
      <c r="K34" s="106"/>
      <c r="L34" s="106"/>
      <c r="M34" s="106"/>
      <c r="N34" s="98"/>
      <c r="O34" s="98"/>
      <c r="P34" s="114"/>
      <c r="Q34" s="294" t="s">
        <v>39</v>
      </c>
      <c r="R34" s="293" t="s">
        <v>131</v>
      </c>
      <c r="S34" s="105"/>
      <c r="U34" s="122"/>
      <c r="V34" s="105"/>
      <c r="W34" s="105"/>
    </row>
    <row r="35" spans="1:23" x14ac:dyDescent="0.3">
      <c r="A35" s="106"/>
      <c r="B35" s="106"/>
      <c r="C35" s="106"/>
      <c r="D35" s="106"/>
      <c r="E35" s="106"/>
      <c r="F35" s="106"/>
      <c r="G35" s="106"/>
      <c r="H35" s="106"/>
      <c r="I35" s="106"/>
      <c r="J35" s="106"/>
      <c r="K35" s="106"/>
      <c r="L35" s="106"/>
      <c r="M35" s="106"/>
      <c r="N35" s="98"/>
      <c r="O35" s="98"/>
      <c r="P35" s="120"/>
      <c r="Q35" s="120" t="s">
        <v>64</v>
      </c>
      <c r="R35" s="105" t="s">
        <v>398</v>
      </c>
      <c r="S35" s="105"/>
      <c r="U35" s="116"/>
      <c r="V35" s="105"/>
      <c r="W35" s="105"/>
    </row>
    <row r="36" spans="1:23" x14ac:dyDescent="0.3">
      <c r="A36" s="110"/>
      <c r="B36" s="110"/>
      <c r="C36" s="110"/>
      <c r="D36" s="111"/>
      <c r="E36" s="111"/>
      <c r="F36" s="110"/>
      <c r="G36" s="111"/>
      <c r="H36" s="111"/>
      <c r="I36" s="112"/>
      <c r="J36" s="105"/>
      <c r="K36" s="105"/>
      <c r="L36" s="113"/>
      <c r="M36" s="113"/>
      <c r="O36" s="98">
        <f>DSUM($A$1:$Q$28,I1,$Q$34:$R$36)</f>
        <v>1015875</v>
      </c>
      <c r="P36" s="120"/>
      <c r="Q36" s="120" t="s">
        <v>75</v>
      </c>
      <c r="R36" s="105" t="s">
        <v>398</v>
      </c>
      <c r="S36" s="105"/>
      <c r="U36" s="116"/>
      <c r="V36" s="105"/>
      <c r="W36" s="105"/>
    </row>
    <row r="37" spans="1:23" x14ac:dyDescent="0.3">
      <c r="A37" s="114"/>
      <c r="B37" s="115"/>
      <c r="C37" s="114"/>
      <c r="D37" s="116"/>
      <c r="E37" s="116"/>
      <c r="F37" s="116"/>
      <c r="G37" s="117"/>
      <c r="H37" s="177"/>
      <c r="I37" s="118"/>
      <c r="J37" s="106"/>
      <c r="K37" s="106"/>
      <c r="L37" s="119"/>
      <c r="M37" s="106"/>
      <c r="N37" s="98"/>
      <c r="O37" s="98"/>
      <c r="P37" s="114"/>
      <c r="Q37" s="114"/>
      <c r="R37" s="105"/>
      <c r="S37" s="105"/>
      <c r="U37" s="122"/>
      <c r="V37" s="105"/>
      <c r="W37" s="105"/>
    </row>
    <row r="38" spans="1:23" x14ac:dyDescent="0.3">
      <c r="A38" s="120"/>
      <c r="B38" s="121"/>
      <c r="C38" s="120"/>
      <c r="D38" s="122"/>
      <c r="E38" s="122"/>
      <c r="F38" s="122"/>
      <c r="G38" s="123"/>
      <c r="H38" s="178"/>
      <c r="I38" s="118"/>
      <c r="J38" s="106"/>
      <c r="K38" s="106"/>
      <c r="L38" s="119"/>
      <c r="M38" s="106"/>
      <c r="N38" s="98"/>
      <c r="O38" s="98"/>
      <c r="P38" s="120"/>
      <c r="Q38" s="120"/>
      <c r="R38" s="105"/>
      <c r="S38" s="105"/>
      <c r="U38" s="105"/>
      <c r="V38" s="105"/>
      <c r="W38" s="105"/>
    </row>
    <row r="39" spans="1:23" x14ac:dyDescent="0.3">
      <c r="A39" s="114"/>
      <c r="B39" s="115"/>
      <c r="C39" s="114"/>
      <c r="D39" s="116"/>
      <c r="E39" s="116"/>
      <c r="F39" s="116"/>
      <c r="G39" s="117"/>
      <c r="H39" s="177"/>
      <c r="I39" s="118"/>
      <c r="J39" s="106"/>
      <c r="K39" s="106"/>
      <c r="L39" s="119"/>
      <c r="M39" s="106"/>
      <c r="N39" s="98"/>
      <c r="O39" s="98"/>
      <c r="P39" s="120"/>
      <c r="Q39" s="120"/>
      <c r="R39" s="105"/>
      <c r="S39" s="105"/>
    </row>
    <row r="40" spans="1:23" x14ac:dyDescent="0.3">
      <c r="A40" s="120"/>
      <c r="B40" s="121"/>
      <c r="C40" s="120"/>
      <c r="D40" s="122"/>
      <c r="E40" s="122"/>
      <c r="F40" s="122"/>
      <c r="G40" s="105"/>
      <c r="H40" s="178"/>
      <c r="I40" s="118"/>
      <c r="J40" s="106"/>
      <c r="K40" s="106"/>
      <c r="L40" s="119"/>
      <c r="M40" s="106"/>
      <c r="N40" s="98"/>
      <c r="O40" s="98"/>
      <c r="P40" s="120"/>
      <c r="Q40" s="120"/>
      <c r="R40" s="105"/>
      <c r="S40" s="105"/>
    </row>
    <row r="41" spans="1:23" x14ac:dyDescent="0.3">
      <c r="A41" s="120"/>
      <c r="B41" s="121"/>
      <c r="C41" s="120"/>
      <c r="D41" s="122"/>
      <c r="E41" s="122"/>
      <c r="F41" s="110"/>
      <c r="G41" s="105"/>
      <c r="H41" s="178"/>
      <c r="I41" s="118"/>
      <c r="J41" s="106"/>
      <c r="K41" s="106"/>
      <c r="L41" s="119"/>
      <c r="M41" s="106"/>
      <c r="N41" s="98"/>
      <c r="O41" s="98"/>
      <c r="P41" s="114"/>
      <c r="Q41" s="114"/>
      <c r="R41" s="105"/>
      <c r="S41" s="105"/>
      <c r="T41" s="105"/>
      <c r="U41" s="105"/>
      <c r="V41" s="105"/>
    </row>
    <row r="42" spans="1:23" x14ac:dyDescent="0.3">
      <c r="A42" s="114"/>
      <c r="B42" s="115"/>
      <c r="C42" s="114"/>
      <c r="D42" s="116"/>
      <c r="E42" s="116"/>
      <c r="F42" s="182"/>
      <c r="G42" s="117"/>
      <c r="H42" s="117"/>
      <c r="I42" s="118"/>
      <c r="J42" s="106"/>
      <c r="K42" s="106"/>
      <c r="L42" s="106"/>
      <c r="M42" s="106"/>
      <c r="N42" s="98"/>
      <c r="O42" s="106"/>
      <c r="P42" s="105"/>
      <c r="Q42" s="105"/>
      <c r="R42" s="105"/>
      <c r="S42" s="105"/>
      <c r="T42" s="359"/>
      <c r="U42" s="360"/>
      <c r="V42" s="105"/>
    </row>
    <row r="43" spans="1:23" x14ac:dyDescent="0.3">
      <c r="A43" s="120"/>
      <c r="B43" s="121"/>
      <c r="C43" s="120"/>
      <c r="D43" s="122"/>
      <c r="E43" s="122"/>
      <c r="F43" s="182"/>
      <c r="G43" s="105"/>
      <c r="H43" s="178"/>
      <c r="I43" s="118"/>
      <c r="J43" s="106"/>
      <c r="K43" s="106"/>
      <c r="L43" s="106"/>
      <c r="M43" s="106"/>
      <c r="N43" s="98"/>
      <c r="O43" s="106"/>
      <c r="P43" s="105"/>
      <c r="Q43" s="110"/>
      <c r="R43" s="105"/>
      <c r="S43" s="105"/>
      <c r="T43" s="361"/>
      <c r="U43" s="362"/>
      <c r="V43" s="105"/>
    </row>
    <row r="44" spans="1:23" x14ac:dyDescent="0.3">
      <c r="A44" s="106"/>
      <c r="B44" s="106"/>
      <c r="C44" s="106"/>
      <c r="D44" s="106"/>
      <c r="E44" s="106"/>
      <c r="F44" s="182"/>
      <c r="G44" s="106"/>
      <c r="H44" s="106"/>
      <c r="I44" s="106"/>
      <c r="J44" s="106"/>
      <c r="K44" s="106"/>
      <c r="L44" s="106"/>
      <c r="M44" s="106"/>
      <c r="N44" s="106"/>
      <c r="O44" s="106"/>
      <c r="P44" s="105"/>
      <c r="Q44" s="105"/>
      <c r="R44" s="105"/>
      <c r="S44" s="105"/>
      <c r="T44" s="363"/>
      <c r="U44" s="362"/>
      <c r="V44" s="105"/>
    </row>
    <row r="45" spans="1:23" ht="17.399999999999999" x14ac:dyDescent="0.45">
      <c r="A45" s="106"/>
      <c r="B45" s="106"/>
      <c r="C45" s="106"/>
      <c r="D45" s="106"/>
      <c r="E45" s="106"/>
      <c r="F45" s="106"/>
      <c r="G45" s="105"/>
      <c r="H45" s="105"/>
      <c r="I45" s="124"/>
      <c r="J45" s="105"/>
      <c r="K45" s="105"/>
      <c r="L45" s="105"/>
      <c r="M45" s="105"/>
      <c r="N45" s="105"/>
      <c r="O45" s="105"/>
      <c r="P45" s="105"/>
      <c r="Q45" s="105"/>
      <c r="R45" s="105"/>
      <c r="S45" s="105"/>
      <c r="T45" s="105"/>
      <c r="U45" s="105"/>
      <c r="V45" s="105"/>
    </row>
    <row r="46" spans="1:23" x14ac:dyDescent="0.3">
      <c r="A46" s="106"/>
      <c r="B46" s="106"/>
      <c r="C46" s="106"/>
      <c r="D46" s="106"/>
      <c r="E46" s="106"/>
      <c r="F46" s="106"/>
      <c r="G46" s="105"/>
      <c r="H46" s="105"/>
      <c r="I46" s="105"/>
      <c r="J46" s="105"/>
      <c r="K46" s="105"/>
      <c r="L46" s="105"/>
      <c r="M46" s="105"/>
      <c r="N46" s="105"/>
      <c r="O46" s="125"/>
      <c r="P46" s="105"/>
      <c r="Q46" s="105"/>
      <c r="R46" s="105"/>
      <c r="S46" s="105"/>
      <c r="T46" s="105"/>
      <c r="U46" s="105"/>
      <c r="V46" s="105"/>
    </row>
    <row r="47" spans="1:23" x14ac:dyDescent="0.3">
      <c r="A47" s="106"/>
      <c r="B47" s="106"/>
      <c r="C47" s="106"/>
      <c r="D47" s="106"/>
      <c r="E47" s="106"/>
      <c r="F47" s="106"/>
      <c r="G47" s="105"/>
      <c r="H47" s="105"/>
      <c r="I47" s="105"/>
      <c r="J47" s="105"/>
      <c r="K47" s="105"/>
      <c r="L47" s="105"/>
      <c r="M47" s="105"/>
      <c r="N47" s="105"/>
      <c r="O47" s="105"/>
      <c r="P47" s="105"/>
      <c r="Q47" s="105"/>
      <c r="R47" s="105"/>
      <c r="S47" s="105"/>
      <c r="T47" s="105"/>
      <c r="U47" s="105"/>
      <c r="V47" s="105"/>
    </row>
    <row r="48" spans="1:23" x14ac:dyDescent="0.3">
      <c r="A48" s="106"/>
      <c r="B48" s="106"/>
      <c r="C48" s="106"/>
      <c r="D48" s="106"/>
      <c r="E48" s="106"/>
      <c r="F48" s="106"/>
      <c r="G48" s="105"/>
      <c r="H48" s="105"/>
      <c r="I48" s="105"/>
      <c r="J48" s="105"/>
      <c r="K48" s="105"/>
      <c r="L48" s="105"/>
      <c r="M48" s="105"/>
      <c r="O48" s="105"/>
      <c r="P48" s="105"/>
      <c r="Q48" s="105"/>
      <c r="R48" s="105"/>
      <c r="S48" s="105"/>
      <c r="T48" s="105"/>
      <c r="U48" s="105"/>
      <c r="V48" s="105"/>
    </row>
    <row r="49" spans="1:18" x14ac:dyDescent="0.3">
      <c r="A49" s="106"/>
      <c r="B49" s="106"/>
      <c r="C49" s="106"/>
      <c r="D49" s="106"/>
      <c r="E49" s="106"/>
      <c r="F49" s="106"/>
      <c r="G49" s="105"/>
      <c r="H49" s="105"/>
      <c r="I49" s="105"/>
      <c r="J49" s="105"/>
      <c r="K49" s="105"/>
      <c r="L49" s="105"/>
      <c r="M49" s="105"/>
      <c r="O49" s="105"/>
      <c r="P49" s="105"/>
      <c r="Q49" s="105"/>
      <c r="R49" s="105"/>
    </row>
    <row r="50" spans="1:18" x14ac:dyDescent="0.3">
      <c r="A50" s="106"/>
      <c r="B50" s="106"/>
      <c r="C50" s="106"/>
      <c r="D50" s="106"/>
      <c r="E50" s="106"/>
      <c r="F50" s="106"/>
      <c r="G50" s="105"/>
      <c r="H50" s="105"/>
      <c r="I50" s="105"/>
      <c r="J50" s="105"/>
      <c r="K50" s="105"/>
      <c r="L50" s="105"/>
      <c r="M50" s="105"/>
      <c r="O50" s="105"/>
      <c r="P50" s="105"/>
      <c r="Q50" s="105"/>
      <c r="R50" s="105"/>
    </row>
    <row r="51" spans="1:18" x14ac:dyDescent="0.3">
      <c r="A51" s="106"/>
      <c r="B51" s="106"/>
      <c r="C51" s="106"/>
      <c r="D51" s="106"/>
      <c r="E51" s="106"/>
      <c r="F51" s="106"/>
      <c r="G51" s="105"/>
      <c r="H51" s="105"/>
      <c r="I51" s="105"/>
      <c r="J51" s="105"/>
      <c r="K51" s="105"/>
      <c r="L51" s="105"/>
      <c r="M51" s="105"/>
    </row>
  </sheetData>
  <mergeCells count="2">
    <mergeCell ref="S1:T1"/>
    <mergeCell ref="F32:M32"/>
  </mergeCells>
  <pageMargins left="0.7" right="0.7" top="0.75" bottom="0.75" header="0.3" footer="0.3"/>
  <pageSetup paperSize="9"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8F4-0738-40BF-9C02-207F4843B875}">
  <dimension ref="A1:U58"/>
  <sheetViews>
    <sheetView rightToLeft="1" tabSelected="1" topLeftCell="D1" workbookViewId="0">
      <selection activeCell="AD6" sqref="AD6"/>
    </sheetView>
  </sheetViews>
  <sheetFormatPr defaultRowHeight="13.8" x14ac:dyDescent="0.25"/>
  <cols>
    <col min="1" max="1" width="8" bestFit="1" customWidth="1"/>
    <col min="2" max="2" width="11" bestFit="1" customWidth="1"/>
    <col min="3" max="3" width="9.19921875" bestFit="1" customWidth="1"/>
    <col min="5" max="5" width="9.296875" bestFit="1" customWidth="1"/>
    <col min="6" max="6" width="8.69921875" bestFit="1" customWidth="1"/>
    <col min="10" max="10" width="12.09765625" customWidth="1"/>
    <col min="11" max="11" width="1.5" bestFit="1" customWidth="1"/>
    <col min="12" max="12" width="4.3984375" bestFit="1" customWidth="1"/>
    <col min="13" max="13" width="7.59765625" bestFit="1" customWidth="1"/>
    <col min="14" max="14" width="5.3984375" bestFit="1" customWidth="1"/>
    <col min="17" max="17" width="9.8984375" bestFit="1" customWidth="1"/>
    <col min="19" max="19" width="11" bestFit="1" customWidth="1"/>
  </cols>
  <sheetData>
    <row r="1" spans="1:9" ht="26.4" x14ac:dyDescent="0.25">
      <c r="A1" s="210" t="s">
        <v>275</v>
      </c>
      <c r="B1" s="210" t="s">
        <v>276</v>
      </c>
      <c r="C1" s="210" t="s">
        <v>39</v>
      </c>
      <c r="D1" s="210" t="s">
        <v>246</v>
      </c>
      <c r="E1" s="210" t="s">
        <v>277</v>
      </c>
      <c r="F1" s="210" t="s">
        <v>278</v>
      </c>
      <c r="G1" s="217" t="s">
        <v>349</v>
      </c>
      <c r="H1" s="210" t="s">
        <v>350</v>
      </c>
      <c r="I1" s="210"/>
    </row>
    <row r="2" spans="1:9" x14ac:dyDescent="0.25">
      <c r="A2" s="211">
        <v>1304</v>
      </c>
      <c r="B2" s="212" t="s">
        <v>279</v>
      </c>
      <c r="C2" s="213" t="s">
        <v>82</v>
      </c>
      <c r="D2" s="214">
        <v>28889.033680555556</v>
      </c>
      <c r="E2" s="213" t="s">
        <v>280</v>
      </c>
      <c r="F2" s="215">
        <v>19774</v>
      </c>
      <c r="G2" s="384">
        <f ca="1">YEAR(TODAY())-YEAR(D2)</f>
        <v>45</v>
      </c>
      <c r="H2" t="str">
        <f>_xlfn.XLOOKUP(C2,'[4]נתוני עזר'!$A$4:$A$11,'[4]נתוני עזר'!$C$4:$C$11)</f>
        <v>מרכז</v>
      </c>
      <c r="I2" s="221">
        <f ca="1">IF(AND(OR(E2=$L$19,E2=$N$19),OR(G2&gt;$Q$19,G2&lt;$R$19)),F2*$U$19,IF(AND(OR(E2=$L$21,E2=$N$21),H2=$Q$21,D2&lt;$S$21),F2*$U$21,IF(AND(E2=$L$23,OR(H2=$O$23,H2=$Q$23)),F2*$U$23,F2)))</f>
        <v>19774</v>
      </c>
    </row>
    <row r="3" spans="1:9" x14ac:dyDescent="0.25">
      <c r="A3" s="211">
        <v>1333</v>
      </c>
      <c r="B3" s="212" t="s">
        <v>281</v>
      </c>
      <c r="C3" s="213" t="s">
        <v>282</v>
      </c>
      <c r="D3" s="214">
        <v>30017.130525706405</v>
      </c>
      <c r="E3" s="213" t="s">
        <v>283</v>
      </c>
      <c r="F3" s="215">
        <v>11506</v>
      </c>
      <c r="G3">
        <f t="shared" ref="G3:G58" ca="1" si="0">YEAR(TODAY())-YEAR(D3)</f>
        <v>42</v>
      </c>
      <c r="H3" t="str">
        <f>_xlfn.XLOOKUP(C3,'[4]נתוני עזר'!$A$4:$A$11,'[4]נתוני עזר'!$C$4:$C$11)</f>
        <v>דרום</v>
      </c>
      <c r="I3" s="221">
        <f t="shared" ref="I3:I25" ca="1" si="1">IF(AND(OR(E3=$L$19,E3=$N$19),OR(G3&gt;$Q$19,G3&lt;$R$19)),F3*$U$19,IF(AND(OR(E3=$L$21,E3=$N$21),H3=$Q$21,D3&lt;$S$21),F3*$U$21,IF(AND(E3=$L$23,OR(H3=$O$23,H3=$Q$23)),F3*$U$23,F3)))</f>
        <v>11506</v>
      </c>
    </row>
    <row r="4" spans="1:9" x14ac:dyDescent="0.25">
      <c r="A4" s="211">
        <v>1406</v>
      </c>
      <c r="B4" s="212" t="s">
        <v>284</v>
      </c>
      <c r="C4" s="213" t="s">
        <v>56</v>
      </c>
      <c r="D4" s="214">
        <v>20941</v>
      </c>
      <c r="E4" s="213" t="s">
        <v>285</v>
      </c>
      <c r="F4" s="215">
        <v>17310</v>
      </c>
      <c r="G4">
        <f t="shared" ca="1" si="0"/>
        <v>67</v>
      </c>
      <c r="H4" t="str">
        <f>_xlfn.XLOOKUP(C4,'[4]נתוני עזר'!$A$4:$A$11,'[4]נתוני עזר'!$C$4:$C$11)</f>
        <v>מרכז</v>
      </c>
      <c r="I4" s="221">
        <f t="shared" ca="1" si="1"/>
        <v>19041</v>
      </c>
    </row>
    <row r="5" spans="1:9" x14ac:dyDescent="0.25">
      <c r="A5" s="211">
        <v>1407</v>
      </c>
      <c r="B5" s="212" t="s">
        <v>286</v>
      </c>
      <c r="C5" s="213" t="s">
        <v>287</v>
      </c>
      <c r="D5" s="214">
        <v>31929.944282407407</v>
      </c>
      <c r="E5" s="213" t="s">
        <v>288</v>
      </c>
      <c r="F5" s="215">
        <v>17310</v>
      </c>
      <c r="G5">
        <f t="shared" ca="1" si="0"/>
        <v>37</v>
      </c>
      <c r="H5" t="str">
        <f>_xlfn.XLOOKUP(C5,'[4]נתוני עזר'!$A$4:$A$11,'[4]נתוני עזר'!$C$4:$C$11)</f>
        <v>מרכז</v>
      </c>
      <c r="I5" s="221">
        <f t="shared" ca="1" si="1"/>
        <v>17310</v>
      </c>
    </row>
    <row r="6" spans="1:9" x14ac:dyDescent="0.25">
      <c r="A6" s="211">
        <v>1935</v>
      </c>
      <c r="B6" s="212" t="s">
        <v>289</v>
      </c>
      <c r="C6" s="213" t="s">
        <v>282</v>
      </c>
      <c r="D6" s="214">
        <v>18948</v>
      </c>
      <c r="E6" s="213" t="s">
        <v>290</v>
      </c>
      <c r="F6" s="215">
        <v>19148</v>
      </c>
      <c r="G6">
        <f t="shared" ca="1" si="0"/>
        <v>73</v>
      </c>
      <c r="H6" t="str">
        <f>_xlfn.XLOOKUP(C6,'[4]נתוני עזר'!$A$4:$A$11,'[4]נתוני עזר'!$C$4:$C$11)</f>
        <v>דרום</v>
      </c>
      <c r="I6" s="221">
        <f t="shared" ca="1" si="1"/>
        <v>19148</v>
      </c>
    </row>
    <row r="7" spans="1:9" x14ac:dyDescent="0.25">
      <c r="A7" s="211">
        <v>2060</v>
      </c>
      <c r="B7" s="212" t="s">
        <v>291</v>
      </c>
      <c r="C7" s="213" t="s">
        <v>60</v>
      </c>
      <c r="D7" s="214">
        <v>19019</v>
      </c>
      <c r="E7" s="213" t="s">
        <v>280</v>
      </c>
      <c r="F7" s="215">
        <v>11659</v>
      </c>
      <c r="G7">
        <f t="shared" ca="1" si="0"/>
        <v>72</v>
      </c>
      <c r="H7" t="str">
        <f>_xlfn.XLOOKUP(C7,'[4]נתוני עזר'!$A$4:$A$11,'[4]נתוני עזר'!$C$4:$C$11)</f>
        <v>מרכז</v>
      </c>
      <c r="I7" s="221">
        <f t="shared" ca="1" si="1"/>
        <v>12241.95</v>
      </c>
    </row>
    <row r="8" spans="1:9" x14ac:dyDescent="0.25">
      <c r="A8" s="211">
        <v>2147</v>
      </c>
      <c r="B8" s="212" t="s">
        <v>292</v>
      </c>
      <c r="C8" s="213" t="s">
        <v>293</v>
      </c>
      <c r="D8" s="214">
        <v>30461</v>
      </c>
      <c r="E8" s="213" t="s">
        <v>285</v>
      </c>
      <c r="F8" s="215">
        <v>25802</v>
      </c>
      <c r="G8">
        <f t="shared" ca="1" si="0"/>
        <v>41</v>
      </c>
      <c r="H8" t="str">
        <f>_xlfn.XLOOKUP(C8,'[4]נתוני עזר'!$A$4:$A$11,'[4]נתוני עזר'!$C$4:$C$11)</f>
        <v>מרכז</v>
      </c>
      <c r="I8" s="221">
        <f t="shared" ca="1" si="1"/>
        <v>25802</v>
      </c>
    </row>
    <row r="9" spans="1:9" x14ac:dyDescent="0.25">
      <c r="A9" s="211">
        <v>2309</v>
      </c>
      <c r="B9" s="212" t="s">
        <v>294</v>
      </c>
      <c r="C9" s="213" t="s">
        <v>82</v>
      </c>
      <c r="D9" s="214">
        <v>23415</v>
      </c>
      <c r="E9" s="213" t="s">
        <v>295</v>
      </c>
      <c r="F9" s="215">
        <v>24096</v>
      </c>
      <c r="G9">
        <f t="shared" ca="1" si="0"/>
        <v>60</v>
      </c>
      <c r="H9" t="str">
        <f>_xlfn.XLOOKUP(C9,'[4]נתוני עזר'!$A$4:$A$11,'[4]נתוני עזר'!$C$4:$C$11)</f>
        <v>מרכז</v>
      </c>
      <c r="I9" s="221">
        <f t="shared" ca="1" si="1"/>
        <v>25300.799999999999</v>
      </c>
    </row>
    <row r="10" spans="1:9" x14ac:dyDescent="0.25">
      <c r="A10" s="211">
        <v>2361</v>
      </c>
      <c r="B10" s="212" t="s">
        <v>296</v>
      </c>
      <c r="C10" s="213" t="s">
        <v>282</v>
      </c>
      <c r="D10" s="214">
        <v>30293</v>
      </c>
      <c r="E10" s="213" t="s">
        <v>297</v>
      </c>
      <c r="F10" s="215">
        <v>4650</v>
      </c>
      <c r="G10">
        <f t="shared" ca="1" si="0"/>
        <v>42</v>
      </c>
      <c r="H10" t="str">
        <f>_xlfn.XLOOKUP(C10,'[4]נתוני עזר'!$A$4:$A$11,'[4]נתוני עזר'!$C$4:$C$11)</f>
        <v>דרום</v>
      </c>
      <c r="I10" s="221">
        <f t="shared" ca="1" si="1"/>
        <v>4650</v>
      </c>
    </row>
    <row r="11" spans="1:9" x14ac:dyDescent="0.25">
      <c r="A11" s="211">
        <v>3074</v>
      </c>
      <c r="B11" s="212" t="s">
        <v>298</v>
      </c>
      <c r="C11" s="216" t="s">
        <v>101</v>
      </c>
      <c r="D11" s="214">
        <v>21078</v>
      </c>
      <c r="E11" s="213" t="s">
        <v>280</v>
      </c>
      <c r="F11" s="215">
        <v>13765</v>
      </c>
      <c r="G11">
        <f t="shared" ca="1" si="0"/>
        <v>67</v>
      </c>
      <c r="H11" t="str">
        <f>_xlfn.XLOOKUP(C11,'[4]נתוני עזר'!$A$4:$A$11,'[4]נתוני עזר'!$C$4:$C$11)</f>
        <v>צפון</v>
      </c>
      <c r="I11" s="221">
        <f t="shared" ca="1" si="1"/>
        <v>14453.25</v>
      </c>
    </row>
    <row r="12" spans="1:9" x14ac:dyDescent="0.25">
      <c r="A12" s="211">
        <v>3090</v>
      </c>
      <c r="B12" s="212" t="s">
        <v>299</v>
      </c>
      <c r="C12" s="213" t="s">
        <v>300</v>
      </c>
      <c r="D12" s="214">
        <v>21247</v>
      </c>
      <c r="E12" s="213" t="s">
        <v>47</v>
      </c>
      <c r="F12" s="215">
        <v>10173</v>
      </c>
      <c r="G12">
        <f t="shared" ca="1" si="0"/>
        <v>66</v>
      </c>
      <c r="H12" t="str">
        <f>_xlfn.XLOOKUP(C12,'[4]נתוני עזר'!$A$4:$A$11,'[4]נתוני עזר'!$C$4:$C$11)</f>
        <v>צפון</v>
      </c>
      <c r="I12" s="221">
        <f t="shared" ca="1" si="1"/>
        <v>10173</v>
      </c>
    </row>
    <row r="13" spans="1:9" x14ac:dyDescent="0.25">
      <c r="A13" s="211">
        <v>3145</v>
      </c>
      <c r="B13" s="212" t="s">
        <v>301</v>
      </c>
      <c r="C13" s="213" t="s">
        <v>293</v>
      </c>
      <c r="D13" s="214">
        <v>30273</v>
      </c>
      <c r="E13" s="213" t="s">
        <v>302</v>
      </c>
      <c r="F13" s="215">
        <v>6902</v>
      </c>
      <c r="G13">
        <f t="shared" ca="1" si="0"/>
        <v>42</v>
      </c>
      <c r="H13" t="str">
        <f>_xlfn.XLOOKUP(C13,'[4]נתוני עזר'!$A$4:$A$11,'[4]נתוני עזר'!$C$4:$C$11)</f>
        <v>מרכז</v>
      </c>
      <c r="I13" s="221">
        <f t="shared" ca="1" si="1"/>
        <v>6902</v>
      </c>
    </row>
    <row r="14" spans="1:9" x14ac:dyDescent="0.25">
      <c r="A14" s="211">
        <v>3156</v>
      </c>
      <c r="B14" s="212" t="s">
        <v>303</v>
      </c>
      <c r="C14" s="213" t="s">
        <v>82</v>
      </c>
      <c r="D14" s="214">
        <v>32146</v>
      </c>
      <c r="E14" s="213" t="s">
        <v>304</v>
      </c>
      <c r="F14" s="215">
        <v>19171</v>
      </c>
      <c r="G14">
        <f t="shared" ca="1" si="0"/>
        <v>36</v>
      </c>
      <c r="H14" t="str">
        <f>_xlfn.XLOOKUP(C14,'[4]נתוני עזר'!$A$4:$A$11,'[4]נתוני עזר'!$C$4:$C$11)</f>
        <v>מרכז</v>
      </c>
      <c r="I14" s="221">
        <f t="shared" ca="1" si="1"/>
        <v>19171</v>
      </c>
    </row>
    <row r="15" spans="1:9" x14ac:dyDescent="0.25">
      <c r="A15" s="211">
        <v>3160</v>
      </c>
      <c r="B15" s="212" t="s">
        <v>305</v>
      </c>
      <c r="C15" s="216" t="s">
        <v>101</v>
      </c>
      <c r="D15" s="214">
        <v>27838</v>
      </c>
      <c r="E15" s="213" t="s">
        <v>290</v>
      </c>
      <c r="F15" s="215">
        <v>29918</v>
      </c>
      <c r="G15">
        <f t="shared" ca="1" si="0"/>
        <v>48</v>
      </c>
      <c r="H15" t="str">
        <f>_xlfn.XLOOKUP(C15,'[4]נתוני עזר'!$A$4:$A$11,'[4]נתוני עזר'!$C$4:$C$11)</f>
        <v>צפון</v>
      </c>
      <c r="I15" s="221">
        <f t="shared" ca="1" si="1"/>
        <v>29918</v>
      </c>
    </row>
    <row r="16" spans="1:9" x14ac:dyDescent="0.25">
      <c r="A16" s="211">
        <v>3298</v>
      </c>
      <c r="B16" s="212" t="s">
        <v>306</v>
      </c>
      <c r="C16" s="213" t="s">
        <v>287</v>
      </c>
      <c r="D16" s="214">
        <v>21511</v>
      </c>
      <c r="E16" s="213" t="s">
        <v>304</v>
      </c>
      <c r="F16" s="215">
        <v>10665</v>
      </c>
      <c r="G16">
        <f t="shared" ca="1" si="0"/>
        <v>66</v>
      </c>
      <c r="H16" t="str">
        <f>_xlfn.XLOOKUP(C16,'[4]נתוני עזר'!$A$4:$A$11,'[4]נתוני עזר'!$C$4:$C$11)</f>
        <v>מרכז</v>
      </c>
      <c r="I16" s="221">
        <f t="shared" ca="1" si="1"/>
        <v>10665</v>
      </c>
    </row>
    <row r="17" spans="1:21" x14ac:dyDescent="0.25">
      <c r="A17" s="211">
        <v>3490</v>
      </c>
      <c r="B17" s="212" t="s">
        <v>307</v>
      </c>
      <c r="C17" s="213" t="s">
        <v>101</v>
      </c>
      <c r="D17" s="214">
        <v>28374</v>
      </c>
      <c r="E17" s="213" t="s">
        <v>304</v>
      </c>
      <c r="F17" s="215">
        <v>15631</v>
      </c>
      <c r="G17">
        <f t="shared" ca="1" si="0"/>
        <v>47</v>
      </c>
      <c r="H17" t="str">
        <f>_xlfn.XLOOKUP(C17,'[4]נתוני עזר'!$A$4:$A$11,'[4]נתוני עזר'!$C$4:$C$11)</f>
        <v>צפון</v>
      </c>
      <c r="I17" s="221">
        <f t="shared" ca="1" si="1"/>
        <v>17975.649999999998</v>
      </c>
    </row>
    <row r="18" spans="1:21" x14ac:dyDescent="0.25">
      <c r="A18" s="211">
        <v>3951</v>
      </c>
      <c r="B18" s="212" t="s">
        <v>308</v>
      </c>
      <c r="C18" s="213" t="s">
        <v>60</v>
      </c>
      <c r="D18" s="214">
        <v>17621</v>
      </c>
      <c r="E18" s="213" t="s">
        <v>285</v>
      </c>
      <c r="F18" s="215">
        <v>29169</v>
      </c>
      <c r="G18">
        <f t="shared" ca="1" si="0"/>
        <v>76</v>
      </c>
      <c r="H18" t="str">
        <f>_xlfn.XLOOKUP(C18,'[4]נתוני עזר'!$A$4:$A$11,'[4]נתוני עזר'!$C$4:$C$11)</f>
        <v>מרכז</v>
      </c>
      <c r="I18" s="221">
        <f t="shared" ca="1" si="1"/>
        <v>32085.9</v>
      </c>
      <c r="K18" s="162"/>
      <c r="L18" s="162"/>
      <c r="M18" s="162"/>
      <c r="N18" s="162"/>
      <c r="O18" s="162"/>
      <c r="P18" s="162"/>
      <c r="Q18" s="162"/>
      <c r="R18" s="162"/>
      <c r="S18" s="162"/>
    </row>
    <row r="19" spans="1:21" ht="15.6" x14ac:dyDescent="0.3">
      <c r="A19" s="211">
        <v>3981</v>
      </c>
      <c r="B19" s="212" t="s">
        <v>309</v>
      </c>
      <c r="C19" s="213" t="s">
        <v>293</v>
      </c>
      <c r="D19" s="214">
        <v>32113</v>
      </c>
      <c r="E19" s="213" t="s">
        <v>295</v>
      </c>
      <c r="F19" s="215">
        <v>30842</v>
      </c>
      <c r="G19">
        <f t="shared" ca="1" si="0"/>
        <v>37</v>
      </c>
      <c r="H19" t="str">
        <f>_xlfn.XLOOKUP(C19,'[4]נתוני עזר'!$A$4:$A$11,'[4]נתוני עזר'!$C$4:$C$11)</f>
        <v>מרכז</v>
      </c>
      <c r="I19" s="221">
        <f t="shared" ca="1" si="1"/>
        <v>30842</v>
      </c>
      <c r="K19" s="367" t="s">
        <v>354</v>
      </c>
      <c r="L19" s="368" t="s">
        <v>280</v>
      </c>
      <c r="M19" s="369" t="s">
        <v>376</v>
      </c>
      <c r="N19" s="368" t="s">
        <v>295</v>
      </c>
      <c r="O19" s="370" t="s">
        <v>353</v>
      </c>
      <c r="P19" s="366" t="s">
        <v>375</v>
      </c>
      <c r="Q19" s="365">
        <v>50</v>
      </c>
      <c r="R19" s="162">
        <v>30</v>
      </c>
      <c r="U19" s="162">
        <v>1.05</v>
      </c>
    </row>
    <row r="20" spans="1:21" x14ac:dyDescent="0.25">
      <c r="A20" s="211">
        <v>4087</v>
      </c>
      <c r="B20" s="212" t="s">
        <v>310</v>
      </c>
      <c r="C20" s="213" t="s">
        <v>82</v>
      </c>
      <c r="D20" s="214">
        <v>28785</v>
      </c>
      <c r="E20" s="213" t="s">
        <v>283</v>
      </c>
      <c r="F20" s="215">
        <v>24072</v>
      </c>
      <c r="G20">
        <f t="shared" ca="1" si="0"/>
        <v>46</v>
      </c>
      <c r="H20" t="str">
        <f>_xlfn.XLOOKUP(C20,'[4]נתוני עזר'!$A$4:$A$11,'[4]נתוני עזר'!$C$4:$C$11)</f>
        <v>מרכז</v>
      </c>
      <c r="I20" s="221">
        <f t="shared" ca="1" si="1"/>
        <v>24072</v>
      </c>
      <c r="K20" s="162"/>
      <c r="L20" s="220"/>
      <c r="M20" s="162"/>
      <c r="N20" s="162"/>
      <c r="O20" s="162"/>
      <c r="P20" s="162"/>
      <c r="Q20" s="162"/>
      <c r="R20" s="162"/>
      <c r="S20" s="162"/>
    </row>
    <row r="21" spans="1:21" ht="15.6" x14ac:dyDescent="0.3">
      <c r="A21" s="211">
        <v>4191</v>
      </c>
      <c r="B21" s="212" t="s">
        <v>311</v>
      </c>
      <c r="C21" s="213" t="s">
        <v>287</v>
      </c>
      <c r="D21" s="214">
        <v>27063</v>
      </c>
      <c r="E21" s="213" t="s">
        <v>288</v>
      </c>
      <c r="F21" s="215">
        <v>18631</v>
      </c>
      <c r="G21">
        <f t="shared" ca="1" si="0"/>
        <v>50</v>
      </c>
      <c r="H21" t="str">
        <f>_xlfn.XLOOKUP(C21,'[4]נתוני עזר'!$A$4:$A$11,'[4]נתוני עזר'!$C$4:$C$11)</f>
        <v>מרכז</v>
      </c>
      <c r="I21" s="221">
        <f t="shared" ca="1" si="1"/>
        <v>18631</v>
      </c>
      <c r="K21" s="364" t="s">
        <v>354</v>
      </c>
      <c r="L21" s="364" t="s">
        <v>285</v>
      </c>
      <c r="M21" s="224" t="s">
        <v>376</v>
      </c>
      <c r="N21" s="222" t="s">
        <v>288</v>
      </c>
      <c r="O21" s="223" t="s">
        <v>353</v>
      </c>
      <c r="P21" s="366" t="s">
        <v>375</v>
      </c>
      <c r="Q21" s="162" t="s">
        <v>399</v>
      </c>
      <c r="R21" s="366" t="s">
        <v>375</v>
      </c>
      <c r="S21" s="218">
        <v>25569</v>
      </c>
      <c r="T21" s="221"/>
      <c r="U21">
        <v>1.1000000000000001</v>
      </c>
    </row>
    <row r="22" spans="1:21" x14ac:dyDescent="0.25">
      <c r="A22" s="211">
        <v>4198</v>
      </c>
      <c r="B22" s="212" t="s">
        <v>312</v>
      </c>
      <c r="C22" s="213" t="s">
        <v>282</v>
      </c>
      <c r="D22" s="214">
        <v>23072</v>
      </c>
      <c r="E22" s="213" t="s">
        <v>304</v>
      </c>
      <c r="F22" s="215">
        <v>17510</v>
      </c>
      <c r="G22">
        <f t="shared" ca="1" si="0"/>
        <v>61</v>
      </c>
      <c r="H22" t="str">
        <f>_xlfn.XLOOKUP(C22,'[4]נתוני עזר'!$A$4:$A$11,'[4]נתוני עזר'!$C$4:$C$11)</f>
        <v>דרום</v>
      </c>
      <c r="I22" s="221">
        <f t="shared" ca="1" si="1"/>
        <v>17510</v>
      </c>
      <c r="K22" s="162"/>
      <c r="L22" s="220"/>
      <c r="M22" s="162"/>
      <c r="N22" s="162"/>
      <c r="O22" s="162"/>
      <c r="P22" s="162"/>
      <c r="Q22" s="162"/>
      <c r="R22" s="162"/>
      <c r="S22" s="162"/>
    </row>
    <row r="23" spans="1:21" ht="15.6" x14ac:dyDescent="0.3">
      <c r="A23" s="211">
        <v>4256</v>
      </c>
      <c r="B23" s="212" t="s">
        <v>313</v>
      </c>
      <c r="C23" s="213" t="s">
        <v>293</v>
      </c>
      <c r="D23" s="214">
        <v>24738</v>
      </c>
      <c r="E23" s="213" t="s">
        <v>280</v>
      </c>
      <c r="F23" s="215">
        <v>8277</v>
      </c>
      <c r="G23">
        <f t="shared" ca="1" si="0"/>
        <v>57</v>
      </c>
      <c r="H23" t="str">
        <f>_xlfn.XLOOKUP(C23,'[4]נתוני עזר'!$A$4:$A$11,'[4]נתוני עזר'!$C$4:$C$11)</f>
        <v>מרכז</v>
      </c>
      <c r="I23" s="221">
        <f t="shared" ca="1" si="1"/>
        <v>8690.85</v>
      </c>
      <c r="K23" s="162"/>
      <c r="L23" s="344" t="s">
        <v>304</v>
      </c>
      <c r="M23" s="374" t="s">
        <v>375</v>
      </c>
      <c r="N23" s="371" t="s">
        <v>354</v>
      </c>
      <c r="O23" s="373" t="s">
        <v>351</v>
      </c>
      <c r="P23" s="367" t="s">
        <v>376</v>
      </c>
      <c r="Q23" s="372" t="s">
        <v>352</v>
      </c>
      <c r="R23" s="367" t="s">
        <v>353</v>
      </c>
      <c r="S23" s="162"/>
      <c r="U23">
        <v>1.1499999999999999</v>
      </c>
    </row>
    <row r="24" spans="1:21" x14ac:dyDescent="0.25">
      <c r="A24" s="211">
        <v>4314</v>
      </c>
      <c r="B24" s="212" t="s">
        <v>314</v>
      </c>
      <c r="C24" s="213" t="s">
        <v>293</v>
      </c>
      <c r="D24" s="214">
        <v>27382</v>
      </c>
      <c r="E24" s="213" t="s">
        <v>285</v>
      </c>
      <c r="F24" s="215">
        <v>21798</v>
      </c>
      <c r="G24">
        <f t="shared" ca="1" si="0"/>
        <v>50</v>
      </c>
      <c r="H24" t="str">
        <f>_xlfn.XLOOKUP(C24,'[4]נתוני עזר'!$A$4:$A$11,'[4]נתוני עזר'!$C$4:$C$11)</f>
        <v>מרכז</v>
      </c>
      <c r="I24" s="221">
        <f t="shared" ca="1" si="1"/>
        <v>21798</v>
      </c>
      <c r="K24" s="162"/>
      <c r="L24" s="220"/>
      <c r="M24" s="162"/>
      <c r="N24" s="162"/>
      <c r="O24" s="162"/>
      <c r="P24" s="162"/>
      <c r="Q24" s="162"/>
      <c r="R24" s="162"/>
      <c r="S24" s="162"/>
    </row>
    <row r="25" spans="1:21" x14ac:dyDescent="0.25">
      <c r="A25" s="211">
        <v>4475</v>
      </c>
      <c r="B25" s="212" t="s">
        <v>315</v>
      </c>
      <c r="C25" s="213" t="s">
        <v>287</v>
      </c>
      <c r="D25" s="214">
        <v>32526</v>
      </c>
      <c r="E25" s="213" t="s">
        <v>295</v>
      </c>
      <c r="F25" s="215">
        <v>28794</v>
      </c>
      <c r="G25">
        <f t="shared" ca="1" si="0"/>
        <v>35</v>
      </c>
      <c r="H25" t="str">
        <f>_xlfn.XLOOKUP(C25,'[4]נתוני עזר'!$A$4:$A$11,'[4]נתוני עזר'!$C$4:$C$11)</f>
        <v>מרכז</v>
      </c>
      <c r="I25" s="221">
        <f t="shared" ca="1" si="1"/>
        <v>28794</v>
      </c>
      <c r="K25" s="162"/>
      <c r="L25" s="220"/>
      <c r="M25" s="162"/>
      <c r="N25" s="162"/>
      <c r="O25" s="162"/>
    </row>
    <row r="26" spans="1:21" x14ac:dyDescent="0.25">
      <c r="A26" s="211">
        <v>4498</v>
      </c>
      <c r="B26" s="212" t="s">
        <v>316</v>
      </c>
      <c r="C26" s="216" t="s">
        <v>101</v>
      </c>
      <c r="D26" s="214">
        <v>29024</v>
      </c>
      <c r="E26" s="213" t="s">
        <v>295</v>
      </c>
      <c r="F26" s="215">
        <v>32123</v>
      </c>
      <c r="G26">
        <f t="shared" ca="1" si="0"/>
        <v>45</v>
      </c>
      <c r="H26" t="str">
        <f>_xlfn.XLOOKUP(C26,'[4]נתוני עזר'!$A$4:$A$11,'[4]נתוני עזר'!$C$4:$C$11)</f>
        <v>צפון</v>
      </c>
      <c r="I26" s="221"/>
      <c r="K26" s="162"/>
      <c r="L26" s="162"/>
      <c r="M26" s="162"/>
      <c r="N26" s="162"/>
      <c r="O26" s="162"/>
    </row>
    <row r="27" spans="1:21" x14ac:dyDescent="0.25">
      <c r="A27" s="211">
        <v>5087</v>
      </c>
      <c r="B27" s="212" t="s">
        <v>317</v>
      </c>
      <c r="C27" s="213" t="s">
        <v>82</v>
      </c>
      <c r="D27" s="214">
        <v>29181</v>
      </c>
      <c r="E27" s="213" t="s">
        <v>47</v>
      </c>
      <c r="F27" s="215">
        <v>27152</v>
      </c>
      <c r="G27">
        <f t="shared" ca="1" si="0"/>
        <v>45</v>
      </c>
      <c r="H27" t="str">
        <f>_xlfn.XLOOKUP(C27,'[4]נתוני עזר'!$A$4:$A$11,'[4]נתוני עזר'!$C$4:$C$11)</f>
        <v>מרכז</v>
      </c>
      <c r="I27" s="221"/>
      <c r="K27" s="162"/>
      <c r="L27" s="162"/>
      <c r="M27" s="162"/>
      <c r="N27" s="162"/>
      <c r="O27" s="162"/>
    </row>
    <row r="28" spans="1:21" x14ac:dyDescent="0.25">
      <c r="A28" s="211">
        <v>5189</v>
      </c>
      <c r="B28" s="212" t="s">
        <v>318</v>
      </c>
      <c r="C28" s="213" t="s">
        <v>282</v>
      </c>
      <c r="D28" s="214">
        <v>27341</v>
      </c>
      <c r="E28" s="213" t="s">
        <v>297</v>
      </c>
      <c r="F28" s="215">
        <v>10391</v>
      </c>
      <c r="G28">
        <f t="shared" ca="1" si="0"/>
        <v>50</v>
      </c>
      <c r="H28" t="str">
        <f>_xlfn.XLOOKUP(C28,'[4]נתוני עזר'!$A$4:$A$11,'[4]נתוני עזר'!$C$4:$C$11)</f>
        <v>דרום</v>
      </c>
      <c r="I28" s="221"/>
      <c r="K28" s="162"/>
      <c r="L28" s="162"/>
      <c r="M28" s="162"/>
      <c r="N28" s="162"/>
      <c r="O28" s="162"/>
    </row>
    <row r="29" spans="1:21" x14ac:dyDescent="0.25">
      <c r="A29" s="211">
        <v>5446</v>
      </c>
      <c r="B29" s="212" t="s">
        <v>319</v>
      </c>
      <c r="C29" s="213" t="s">
        <v>82</v>
      </c>
      <c r="D29" s="214">
        <v>21576</v>
      </c>
      <c r="E29" s="213" t="s">
        <v>304</v>
      </c>
      <c r="F29" s="215">
        <v>20690</v>
      </c>
      <c r="G29">
        <f t="shared" ca="1" si="0"/>
        <v>65</v>
      </c>
      <c r="H29" t="str">
        <f>_xlfn.XLOOKUP(C29,'[4]נתוני עזר'!$A$4:$A$11,'[4]נתוני עזר'!$C$4:$C$11)</f>
        <v>מרכז</v>
      </c>
      <c r="I29" s="221"/>
      <c r="K29" s="162"/>
      <c r="L29" s="162"/>
      <c r="M29" s="162"/>
      <c r="N29" s="162"/>
      <c r="O29" s="162"/>
    </row>
    <row r="30" spans="1:21" x14ac:dyDescent="0.25">
      <c r="A30" s="211">
        <v>5529</v>
      </c>
      <c r="B30" s="212" t="s">
        <v>320</v>
      </c>
      <c r="C30" s="213" t="s">
        <v>293</v>
      </c>
      <c r="D30" s="214">
        <v>23603</v>
      </c>
      <c r="E30" s="213" t="s">
        <v>47</v>
      </c>
      <c r="F30" s="215">
        <v>10265</v>
      </c>
      <c r="G30">
        <f t="shared" ca="1" si="0"/>
        <v>60</v>
      </c>
      <c r="H30" t="str">
        <f>_xlfn.XLOOKUP(C30,'[4]נתוני עזר'!$A$4:$A$11,'[4]נתוני עזר'!$C$4:$C$11)</f>
        <v>מרכז</v>
      </c>
      <c r="I30" s="221"/>
      <c r="K30" s="162"/>
      <c r="L30" s="162"/>
      <c r="M30" s="383"/>
      <c r="N30" s="383"/>
      <c r="O30" s="383"/>
    </row>
    <row r="31" spans="1:21" x14ac:dyDescent="0.25">
      <c r="A31" s="211">
        <v>5565</v>
      </c>
      <c r="B31" s="212" t="s">
        <v>321</v>
      </c>
      <c r="C31" s="213" t="s">
        <v>282</v>
      </c>
      <c r="D31" s="214">
        <v>26391</v>
      </c>
      <c r="E31" s="213" t="s">
        <v>302</v>
      </c>
      <c r="F31" s="215">
        <v>9733</v>
      </c>
      <c r="G31">
        <f t="shared" ca="1" si="0"/>
        <v>52</v>
      </c>
      <c r="H31" t="str">
        <f>_xlfn.XLOOKUP(C31,'[4]נתוני עזר'!$A$4:$A$11,'[4]נתוני עזר'!$C$4:$C$11)</f>
        <v>דרום</v>
      </c>
      <c r="I31" s="221"/>
      <c r="K31" s="162"/>
      <c r="L31" s="162"/>
      <c r="M31" s="219"/>
      <c r="N31" s="219"/>
      <c r="O31" s="219"/>
    </row>
    <row r="32" spans="1:21" x14ac:dyDescent="0.25">
      <c r="A32" s="211">
        <v>5569</v>
      </c>
      <c r="B32" s="212" t="s">
        <v>322</v>
      </c>
      <c r="C32" s="213" t="s">
        <v>60</v>
      </c>
      <c r="D32" s="214">
        <v>27746</v>
      </c>
      <c r="E32" s="213" t="s">
        <v>304</v>
      </c>
      <c r="F32" s="215">
        <v>6005</v>
      </c>
      <c r="G32">
        <f t="shared" ca="1" si="0"/>
        <v>49</v>
      </c>
      <c r="H32" t="str">
        <f>_xlfn.XLOOKUP(C32,'[4]נתוני עזר'!$A$4:$A$11,'[4]נתוני עזר'!$C$4:$C$11)</f>
        <v>מרכז</v>
      </c>
      <c r="I32" s="221"/>
      <c r="K32" s="162"/>
      <c r="L32" s="162"/>
      <c r="M32" s="220"/>
      <c r="N32" s="220"/>
      <c r="O32" s="162"/>
    </row>
    <row r="33" spans="1:15" x14ac:dyDescent="0.25">
      <c r="A33" s="211">
        <v>5875</v>
      </c>
      <c r="B33" s="212" t="s">
        <v>323</v>
      </c>
      <c r="C33" s="213" t="s">
        <v>82</v>
      </c>
      <c r="D33" s="214">
        <v>30469</v>
      </c>
      <c r="E33" s="213" t="s">
        <v>280</v>
      </c>
      <c r="F33" s="215">
        <v>29187</v>
      </c>
      <c r="G33">
        <f t="shared" ca="1" si="0"/>
        <v>41</v>
      </c>
      <c r="H33" t="str">
        <f>_xlfn.XLOOKUP(C33,'[4]נתוני עזר'!$A$4:$A$11,'[4]נתוני עזר'!$C$4:$C$11)</f>
        <v>מרכז</v>
      </c>
      <c r="I33" s="221"/>
      <c r="K33" s="162"/>
      <c r="L33" s="162"/>
      <c r="M33" s="220"/>
      <c r="N33" s="220"/>
      <c r="O33" s="162"/>
    </row>
    <row r="34" spans="1:15" x14ac:dyDescent="0.25">
      <c r="A34" s="211">
        <v>6407</v>
      </c>
      <c r="B34" s="212" t="s">
        <v>324</v>
      </c>
      <c r="C34" s="213" t="s">
        <v>60</v>
      </c>
      <c r="D34" s="214">
        <v>29818</v>
      </c>
      <c r="E34" s="213" t="s">
        <v>302</v>
      </c>
      <c r="F34" s="215">
        <v>30765</v>
      </c>
      <c r="G34">
        <f t="shared" ca="1" si="0"/>
        <v>43</v>
      </c>
      <c r="H34" t="str">
        <f>_xlfn.XLOOKUP(C34,'[4]נתוני עזר'!$A$4:$A$11,'[4]נתוני עזר'!$C$4:$C$11)</f>
        <v>מרכז</v>
      </c>
      <c r="I34" s="221"/>
      <c r="K34" s="162"/>
      <c r="L34" s="162"/>
      <c r="M34" s="220"/>
      <c r="N34" s="220"/>
      <c r="O34" s="162"/>
    </row>
    <row r="35" spans="1:15" x14ac:dyDescent="0.25">
      <c r="A35" s="211">
        <v>6421</v>
      </c>
      <c r="B35" s="212" t="s">
        <v>325</v>
      </c>
      <c r="C35" s="213" t="s">
        <v>287</v>
      </c>
      <c r="D35" s="214">
        <v>30970</v>
      </c>
      <c r="E35" s="213" t="s">
        <v>290</v>
      </c>
      <c r="F35" s="215">
        <v>12110</v>
      </c>
      <c r="G35">
        <f t="shared" ca="1" si="0"/>
        <v>40</v>
      </c>
      <c r="H35" t="str">
        <f>_xlfn.XLOOKUP(C35,'[4]נתוני עזר'!$A$4:$A$11,'[4]נתוני עזר'!$C$4:$C$11)</f>
        <v>מרכז</v>
      </c>
      <c r="I35" s="221"/>
      <c r="K35" s="162"/>
      <c r="L35" s="162"/>
      <c r="M35" s="220"/>
      <c r="N35" s="220"/>
      <c r="O35" s="162"/>
    </row>
    <row r="36" spans="1:15" x14ac:dyDescent="0.25">
      <c r="A36" s="211">
        <v>6577</v>
      </c>
      <c r="B36" s="212" t="s">
        <v>326</v>
      </c>
      <c r="C36" s="213" t="s">
        <v>82</v>
      </c>
      <c r="D36" s="214">
        <v>27317</v>
      </c>
      <c r="E36" s="213" t="s">
        <v>283</v>
      </c>
      <c r="F36" s="215">
        <v>12810</v>
      </c>
      <c r="G36">
        <f t="shared" ca="1" si="0"/>
        <v>50</v>
      </c>
      <c r="H36" t="str">
        <f>_xlfn.XLOOKUP(C36,'[4]נתוני עזר'!$A$4:$A$11,'[4]נתוני עזר'!$C$4:$C$11)</f>
        <v>מרכז</v>
      </c>
      <c r="I36" s="221"/>
      <c r="K36" s="162"/>
      <c r="L36" s="162"/>
      <c r="M36" s="162"/>
      <c r="N36" s="162"/>
      <c r="O36" s="162"/>
    </row>
    <row r="37" spans="1:15" x14ac:dyDescent="0.25">
      <c r="A37" s="211">
        <v>6655</v>
      </c>
      <c r="B37" s="212" t="s">
        <v>327</v>
      </c>
      <c r="C37" s="213" t="s">
        <v>287</v>
      </c>
      <c r="D37" s="214">
        <v>29639</v>
      </c>
      <c r="E37" s="213" t="s">
        <v>288</v>
      </c>
      <c r="F37" s="215">
        <v>22455</v>
      </c>
      <c r="G37">
        <f t="shared" ca="1" si="0"/>
        <v>43</v>
      </c>
      <c r="H37" t="str">
        <f>_xlfn.XLOOKUP(C37,'[4]נתוני עזר'!$A$4:$A$11,'[4]נתוני עזר'!$C$4:$C$11)</f>
        <v>מרכז</v>
      </c>
      <c r="I37" s="221"/>
    </row>
    <row r="38" spans="1:15" x14ac:dyDescent="0.25">
      <c r="A38" s="211">
        <v>6812</v>
      </c>
      <c r="B38" s="212" t="s">
        <v>328</v>
      </c>
      <c r="C38" s="213" t="s">
        <v>282</v>
      </c>
      <c r="D38" s="214">
        <v>31001</v>
      </c>
      <c r="E38" s="213" t="s">
        <v>280</v>
      </c>
      <c r="F38" s="215">
        <v>13450</v>
      </c>
      <c r="G38">
        <f t="shared" ca="1" si="0"/>
        <v>40</v>
      </c>
      <c r="H38" t="str">
        <f>_xlfn.XLOOKUP(C38,'[4]נתוני עזר'!$A$4:$A$11,'[4]נתוני עזר'!$C$4:$C$11)</f>
        <v>דרום</v>
      </c>
      <c r="I38" s="221"/>
    </row>
    <row r="39" spans="1:15" x14ac:dyDescent="0.25">
      <c r="A39" s="211">
        <v>7098</v>
      </c>
      <c r="B39" s="212" t="s">
        <v>329</v>
      </c>
      <c r="C39" s="213" t="s">
        <v>293</v>
      </c>
      <c r="D39" s="214">
        <v>30809</v>
      </c>
      <c r="E39" s="213" t="s">
        <v>290</v>
      </c>
      <c r="F39" s="215">
        <v>33788</v>
      </c>
      <c r="G39">
        <f t="shared" ca="1" si="0"/>
        <v>40</v>
      </c>
      <c r="H39" t="str">
        <f>_xlfn.XLOOKUP(C39,'[4]נתוני עזר'!$A$4:$A$11,'[4]נתוני עזר'!$C$4:$C$11)</f>
        <v>מרכז</v>
      </c>
      <c r="I39" s="221"/>
      <c r="M39" s="218"/>
      <c r="N39" s="162"/>
      <c r="O39" s="162"/>
    </row>
    <row r="40" spans="1:15" x14ac:dyDescent="0.25">
      <c r="A40" s="211">
        <v>7393</v>
      </c>
      <c r="B40" s="212" t="s">
        <v>330</v>
      </c>
      <c r="C40" s="213" t="s">
        <v>282</v>
      </c>
      <c r="D40" s="214">
        <v>25245</v>
      </c>
      <c r="E40" s="213" t="s">
        <v>280</v>
      </c>
      <c r="F40" s="215">
        <v>4592</v>
      </c>
      <c r="G40">
        <f t="shared" ca="1" si="0"/>
        <v>55</v>
      </c>
      <c r="H40" t="str">
        <f>_xlfn.XLOOKUP(C40,'[4]נתוני עזר'!$A$4:$A$11,'[4]נתוני עזר'!$C$4:$C$11)</f>
        <v>דרום</v>
      </c>
      <c r="I40" s="221"/>
    </row>
    <row r="41" spans="1:15" x14ac:dyDescent="0.25">
      <c r="A41" s="211">
        <v>7429</v>
      </c>
      <c r="B41" s="212" t="s">
        <v>331</v>
      </c>
      <c r="C41" s="213" t="s">
        <v>82</v>
      </c>
      <c r="D41" s="214">
        <v>21649</v>
      </c>
      <c r="E41" s="213" t="s">
        <v>285</v>
      </c>
      <c r="F41" s="215">
        <v>8842</v>
      </c>
      <c r="G41">
        <f t="shared" ca="1" si="0"/>
        <v>65</v>
      </c>
      <c r="H41" t="str">
        <f>_xlfn.XLOOKUP(C41,'[4]נתוני עזר'!$A$4:$A$11,'[4]נתוני עזר'!$C$4:$C$11)</f>
        <v>מרכז</v>
      </c>
      <c r="I41" s="221"/>
    </row>
    <row r="42" spans="1:15" x14ac:dyDescent="0.25">
      <c r="A42" s="211">
        <v>7761</v>
      </c>
      <c r="B42" s="212" t="s">
        <v>332</v>
      </c>
      <c r="C42" s="213" t="s">
        <v>282</v>
      </c>
      <c r="D42" s="214">
        <v>21967</v>
      </c>
      <c r="E42" s="213" t="s">
        <v>295</v>
      </c>
      <c r="F42" s="215">
        <v>14588</v>
      </c>
      <c r="G42">
        <f t="shared" ca="1" si="0"/>
        <v>64</v>
      </c>
      <c r="H42" t="str">
        <f>_xlfn.XLOOKUP(C42,'[4]נתוני עזר'!$A$4:$A$11,'[4]נתוני עזר'!$C$4:$C$11)</f>
        <v>דרום</v>
      </c>
      <c r="I42" s="221"/>
    </row>
    <row r="43" spans="1:15" x14ac:dyDescent="0.25">
      <c r="A43" s="211">
        <v>7849</v>
      </c>
      <c r="B43" s="212" t="s">
        <v>333</v>
      </c>
      <c r="C43" s="213" t="s">
        <v>287</v>
      </c>
      <c r="D43" s="214">
        <v>22961</v>
      </c>
      <c r="E43" s="213" t="s">
        <v>297</v>
      </c>
      <c r="F43" s="215">
        <v>15144</v>
      </c>
      <c r="G43">
        <f t="shared" ca="1" si="0"/>
        <v>62</v>
      </c>
      <c r="H43" t="str">
        <f>_xlfn.XLOOKUP(C43,'[4]נתוני עזר'!$A$4:$A$11,'[4]נתוני עזר'!$C$4:$C$11)</f>
        <v>מרכז</v>
      </c>
      <c r="I43" s="221"/>
    </row>
    <row r="44" spans="1:15" x14ac:dyDescent="0.25">
      <c r="A44" s="211">
        <v>7860</v>
      </c>
      <c r="B44" s="212" t="s">
        <v>334</v>
      </c>
      <c r="C44" s="213" t="s">
        <v>287</v>
      </c>
      <c r="D44" s="214">
        <v>25657</v>
      </c>
      <c r="E44" s="213" t="s">
        <v>304</v>
      </c>
      <c r="F44" s="215">
        <v>20811</v>
      </c>
      <c r="G44">
        <f t="shared" ca="1" si="0"/>
        <v>54</v>
      </c>
      <c r="H44" t="str">
        <f>_xlfn.XLOOKUP(C44,'[4]נתוני עזר'!$A$4:$A$11,'[4]נתוני עזר'!$C$4:$C$11)</f>
        <v>מרכז</v>
      </c>
      <c r="I44" s="221"/>
    </row>
    <row r="45" spans="1:15" x14ac:dyDescent="0.25">
      <c r="A45" s="211">
        <v>8063</v>
      </c>
      <c r="B45" s="212" t="s">
        <v>335</v>
      </c>
      <c r="C45" s="213" t="s">
        <v>82</v>
      </c>
      <c r="D45" s="214">
        <v>25503</v>
      </c>
      <c r="E45" s="213" t="s">
        <v>47</v>
      </c>
      <c r="F45" s="215">
        <v>26860</v>
      </c>
      <c r="G45">
        <f t="shared" ca="1" si="0"/>
        <v>55</v>
      </c>
      <c r="H45" t="str">
        <f>_xlfn.XLOOKUP(C45,'[4]נתוני עזר'!$A$4:$A$11,'[4]נתוני עזר'!$C$4:$C$11)</f>
        <v>מרכז</v>
      </c>
      <c r="I45" s="221"/>
    </row>
    <row r="46" spans="1:15" x14ac:dyDescent="0.25">
      <c r="A46" s="211">
        <v>8093</v>
      </c>
      <c r="B46" s="212" t="s">
        <v>336</v>
      </c>
      <c r="C46" s="213" t="s">
        <v>293</v>
      </c>
      <c r="D46" s="214">
        <v>32740</v>
      </c>
      <c r="E46" s="213" t="s">
        <v>302</v>
      </c>
      <c r="F46" s="215">
        <v>33881</v>
      </c>
      <c r="G46">
        <f t="shared" ca="1" si="0"/>
        <v>35</v>
      </c>
      <c r="H46" t="str">
        <f>_xlfn.XLOOKUP(C46,'[4]נתוני עזר'!$A$4:$A$11,'[4]נתוני עזר'!$C$4:$C$11)</f>
        <v>מרכז</v>
      </c>
      <c r="I46" s="221"/>
    </row>
    <row r="47" spans="1:15" x14ac:dyDescent="0.25">
      <c r="A47" s="211">
        <v>8428</v>
      </c>
      <c r="B47" s="212" t="s">
        <v>337</v>
      </c>
      <c r="C47" s="213" t="s">
        <v>287</v>
      </c>
      <c r="D47" s="214">
        <v>26792</v>
      </c>
      <c r="E47" s="213" t="s">
        <v>47</v>
      </c>
      <c r="F47" s="215">
        <v>18234</v>
      </c>
      <c r="G47">
        <f t="shared" ca="1" si="0"/>
        <v>51</v>
      </c>
      <c r="H47" t="str">
        <f>_xlfn.XLOOKUP(C47,'[4]נתוני עזר'!$A$4:$A$11,'[4]נתוני עזר'!$C$4:$C$11)</f>
        <v>מרכז</v>
      </c>
      <c r="I47" s="221"/>
    </row>
    <row r="48" spans="1:15" x14ac:dyDescent="0.25">
      <c r="A48" s="211">
        <v>8547</v>
      </c>
      <c r="B48" s="212" t="s">
        <v>338</v>
      </c>
      <c r="C48" s="213" t="s">
        <v>60</v>
      </c>
      <c r="D48" s="214">
        <v>24625</v>
      </c>
      <c r="E48" s="213" t="s">
        <v>280</v>
      </c>
      <c r="F48" s="215">
        <v>8120</v>
      </c>
      <c r="G48">
        <f t="shared" ca="1" si="0"/>
        <v>57</v>
      </c>
      <c r="H48" t="str">
        <f>_xlfn.XLOOKUP(C48,'[4]נתוני עזר'!$A$4:$A$11,'[4]נתוני עזר'!$C$4:$C$11)</f>
        <v>מרכז</v>
      </c>
      <c r="I48" s="221"/>
    </row>
    <row r="49" spans="1:9" x14ac:dyDescent="0.25">
      <c r="A49" s="211">
        <v>8719</v>
      </c>
      <c r="B49" s="212" t="s">
        <v>339</v>
      </c>
      <c r="C49" s="213" t="s">
        <v>82</v>
      </c>
      <c r="D49" s="214">
        <v>19026</v>
      </c>
      <c r="E49" s="213" t="s">
        <v>283</v>
      </c>
      <c r="F49" s="215">
        <v>4933</v>
      </c>
      <c r="G49">
        <f t="shared" ca="1" si="0"/>
        <v>72</v>
      </c>
      <c r="H49" t="str">
        <f>_xlfn.XLOOKUP(C49,'[4]נתוני עזר'!$A$4:$A$11,'[4]נתוני עזר'!$C$4:$C$11)</f>
        <v>מרכז</v>
      </c>
      <c r="I49" s="221"/>
    </row>
    <row r="50" spans="1:9" x14ac:dyDescent="0.25">
      <c r="A50" s="211">
        <v>8730</v>
      </c>
      <c r="B50" s="212" t="s">
        <v>340</v>
      </c>
      <c r="C50" s="213" t="s">
        <v>60</v>
      </c>
      <c r="D50" s="214">
        <v>27445</v>
      </c>
      <c r="E50" s="213" t="s">
        <v>288</v>
      </c>
      <c r="F50" s="215">
        <v>30741</v>
      </c>
      <c r="G50">
        <f t="shared" ca="1" si="0"/>
        <v>49</v>
      </c>
      <c r="H50" t="str">
        <f>_xlfn.XLOOKUP(C50,'[4]נתוני עזר'!$A$4:$A$11,'[4]נתוני עזר'!$C$4:$C$11)</f>
        <v>מרכז</v>
      </c>
      <c r="I50" s="221"/>
    </row>
    <row r="51" spans="1:9" x14ac:dyDescent="0.25">
      <c r="A51" s="211">
        <v>8733</v>
      </c>
      <c r="B51" s="212" t="s">
        <v>341</v>
      </c>
      <c r="C51" s="213" t="s">
        <v>56</v>
      </c>
      <c r="D51" s="214">
        <v>27445</v>
      </c>
      <c r="E51" s="213" t="s">
        <v>304</v>
      </c>
      <c r="F51" s="215">
        <v>30141</v>
      </c>
      <c r="G51">
        <f t="shared" ca="1" si="0"/>
        <v>49</v>
      </c>
      <c r="H51" t="str">
        <f>_xlfn.XLOOKUP(C51,'[4]נתוני עזר'!$A$4:$A$11,'[4]נתוני עזר'!$C$4:$C$11)</f>
        <v>מרכז</v>
      </c>
      <c r="I51" s="221"/>
    </row>
    <row r="52" spans="1:9" x14ac:dyDescent="0.25">
      <c r="A52" s="211">
        <v>8956</v>
      </c>
      <c r="B52" s="212" t="s">
        <v>342</v>
      </c>
      <c r="C52" s="213" t="s">
        <v>287</v>
      </c>
      <c r="D52" s="214">
        <v>26813</v>
      </c>
      <c r="E52" s="213" t="s">
        <v>290</v>
      </c>
      <c r="F52" s="215">
        <v>17490</v>
      </c>
      <c r="G52">
        <f t="shared" ca="1" si="0"/>
        <v>51</v>
      </c>
      <c r="H52" t="str">
        <f>_xlfn.XLOOKUP(C52,'[4]נתוני עזר'!$A$4:$A$11,'[4]נתוני עזר'!$C$4:$C$11)</f>
        <v>מרכז</v>
      </c>
      <c r="I52" s="221"/>
    </row>
    <row r="53" spans="1:9" x14ac:dyDescent="0.25">
      <c r="A53" s="211">
        <v>9222</v>
      </c>
      <c r="B53" s="212" t="s">
        <v>343</v>
      </c>
      <c r="C53" s="213" t="s">
        <v>293</v>
      </c>
      <c r="D53" s="214">
        <v>20925</v>
      </c>
      <c r="E53" s="213" t="s">
        <v>280</v>
      </c>
      <c r="F53" s="215">
        <v>25296</v>
      </c>
      <c r="G53">
        <f t="shared" ca="1" si="0"/>
        <v>67</v>
      </c>
      <c r="H53" t="str">
        <f>_xlfn.XLOOKUP(C53,'[4]נתוני עזר'!$A$4:$A$11,'[4]נתוני עזר'!$C$4:$C$11)</f>
        <v>מרכז</v>
      </c>
      <c r="I53" s="221"/>
    </row>
    <row r="54" spans="1:9" x14ac:dyDescent="0.25">
      <c r="A54" s="211">
        <v>9248</v>
      </c>
      <c r="B54" s="212" t="s">
        <v>344</v>
      </c>
      <c r="C54" s="213" t="s">
        <v>287</v>
      </c>
      <c r="D54" s="214">
        <v>28425</v>
      </c>
      <c r="E54" s="213" t="s">
        <v>285</v>
      </c>
      <c r="F54" s="215">
        <v>32258</v>
      </c>
      <c r="G54">
        <f t="shared" ca="1" si="0"/>
        <v>47</v>
      </c>
      <c r="H54" t="str">
        <f>_xlfn.XLOOKUP(C54,'[4]נתוני עזר'!$A$4:$A$11,'[4]נתוני עזר'!$C$4:$C$11)</f>
        <v>מרכז</v>
      </c>
      <c r="I54" s="221"/>
    </row>
    <row r="55" spans="1:9" x14ac:dyDescent="0.25">
      <c r="A55" s="211">
        <v>9273</v>
      </c>
      <c r="B55" s="212" t="s">
        <v>345</v>
      </c>
      <c r="C55" s="213" t="s">
        <v>293</v>
      </c>
      <c r="D55" s="214">
        <v>31275</v>
      </c>
      <c r="E55" s="213" t="s">
        <v>295</v>
      </c>
      <c r="F55" s="215">
        <v>10126</v>
      </c>
      <c r="G55">
        <f t="shared" ca="1" si="0"/>
        <v>39</v>
      </c>
      <c r="H55" t="str">
        <f>_xlfn.XLOOKUP(C55,'[4]נתוני עזר'!$A$4:$A$11,'[4]נתוני עזר'!$C$4:$C$11)</f>
        <v>מרכז</v>
      </c>
      <c r="I55" s="221"/>
    </row>
    <row r="56" spans="1:9" x14ac:dyDescent="0.25">
      <c r="A56" s="211">
        <v>9292</v>
      </c>
      <c r="B56" s="212" t="s">
        <v>346</v>
      </c>
      <c r="C56" s="213" t="s">
        <v>293</v>
      </c>
      <c r="D56" s="214">
        <v>18267</v>
      </c>
      <c r="E56" s="213" t="s">
        <v>297</v>
      </c>
      <c r="F56" s="215">
        <v>29509</v>
      </c>
      <c r="G56">
        <f t="shared" ca="1" si="0"/>
        <v>74</v>
      </c>
      <c r="H56" t="str">
        <f>_xlfn.XLOOKUP(C56,'[4]נתוני עזר'!$A$4:$A$11,'[4]נתוני עזר'!$C$4:$C$11)</f>
        <v>מרכז</v>
      </c>
      <c r="I56" s="221"/>
    </row>
    <row r="57" spans="1:9" x14ac:dyDescent="0.25">
      <c r="A57" s="211">
        <v>9412</v>
      </c>
      <c r="B57" s="212" t="s">
        <v>347</v>
      </c>
      <c r="C57" s="213" t="s">
        <v>60</v>
      </c>
      <c r="D57" s="214">
        <v>25865</v>
      </c>
      <c r="E57" s="213" t="s">
        <v>304</v>
      </c>
      <c r="F57" s="215">
        <v>10632</v>
      </c>
      <c r="G57">
        <f t="shared" ca="1" si="0"/>
        <v>54</v>
      </c>
      <c r="H57" t="str">
        <f>_xlfn.XLOOKUP(C57,'[4]נתוני עזר'!$A$4:$A$11,'[4]נתוני עזר'!$C$4:$C$11)</f>
        <v>מרכז</v>
      </c>
      <c r="I57" s="221"/>
    </row>
    <row r="58" spans="1:9" x14ac:dyDescent="0.25">
      <c r="A58" s="211">
        <v>9738</v>
      </c>
      <c r="B58" s="212" t="s">
        <v>348</v>
      </c>
      <c r="C58" s="213" t="s">
        <v>82</v>
      </c>
      <c r="D58" s="214">
        <v>27502</v>
      </c>
      <c r="E58" s="213" t="s">
        <v>295</v>
      </c>
      <c r="F58" s="215">
        <v>13531</v>
      </c>
      <c r="G58">
        <f t="shared" ca="1" si="0"/>
        <v>49</v>
      </c>
      <c r="H58" t="str">
        <f>_xlfn.XLOOKUP(C58,'[4]נתוני עזר'!$A$4:$A$11,'[4]נתוני עזר'!$C$4:$C$11)</f>
        <v>מרכז</v>
      </c>
      <c r="I58" s="221"/>
    </row>
  </sheetData>
  <mergeCells count="1">
    <mergeCell ref="M30:O3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5BE6-FF23-4DAA-A445-4B9C67F3600B}">
  <dimension ref="A1:AB61"/>
  <sheetViews>
    <sheetView rightToLeft="1" topLeftCell="C1" workbookViewId="0">
      <selection activeCell="J2" sqref="J2"/>
    </sheetView>
  </sheetViews>
  <sheetFormatPr defaultColWidth="8.69921875" defaultRowHeight="15.6" x14ac:dyDescent="0.3"/>
  <cols>
    <col min="1" max="1" width="11.09765625" style="98" customWidth="1"/>
    <col min="2" max="2" width="10.5" bestFit="1" customWidth="1"/>
    <col min="3" max="3" width="10.3984375" style="98" customWidth="1"/>
    <col min="4" max="4" width="13.19921875" style="98" bestFit="1" customWidth="1"/>
    <col min="5" max="5" width="13" style="98" customWidth="1"/>
    <col min="6" max="6" width="19" style="98" customWidth="1"/>
    <col min="7" max="7" width="8.69921875" style="84"/>
    <col min="8" max="8" width="14.8984375" style="98" customWidth="1"/>
    <col min="9" max="9" width="11.19921875" style="84" customWidth="1"/>
    <col min="10" max="10" width="9.3984375" style="84" bestFit="1" customWidth="1"/>
    <col min="11" max="11" width="13.59765625" style="84" customWidth="1"/>
    <col min="12" max="12" width="29.09765625" style="84" customWidth="1"/>
    <col min="13" max="13" width="13.09765625" style="84" customWidth="1"/>
    <col min="14" max="15" width="14.09765625" style="84" customWidth="1"/>
    <col min="16" max="16" width="17.19921875" style="84" customWidth="1"/>
    <col min="17" max="17" width="14.09765625" style="84" customWidth="1"/>
    <col min="18" max="19" width="8.69921875" style="84"/>
    <col min="20" max="20" width="11.8984375" style="84" bestFit="1" customWidth="1"/>
    <col min="21" max="21" width="13.59765625" style="84" customWidth="1"/>
    <col min="22" max="22" width="12.09765625" style="84" customWidth="1"/>
    <col min="23" max="16384" width="8.69921875" style="84"/>
  </cols>
  <sheetData>
    <row r="1" spans="1:28" s="72" customFormat="1" ht="48" customHeight="1" x14ac:dyDescent="0.25">
      <c r="A1" s="8" t="s">
        <v>35</v>
      </c>
      <c r="B1" s="8" t="s">
        <v>36</v>
      </c>
      <c r="C1" s="67" t="s">
        <v>37</v>
      </c>
      <c r="D1" s="68" t="s">
        <v>38</v>
      </c>
      <c r="E1" s="68" t="s">
        <v>39</v>
      </c>
      <c r="F1" s="143" t="s">
        <v>40</v>
      </c>
      <c r="G1" s="68" t="s">
        <v>41</v>
      </c>
      <c r="H1" s="67" t="s">
        <v>36</v>
      </c>
      <c r="I1" s="70" t="s">
        <v>43</v>
      </c>
      <c r="J1" s="70" t="s">
        <v>123</v>
      </c>
      <c r="K1" s="140" t="s">
        <v>228</v>
      </c>
      <c r="L1" s="138" t="s">
        <v>231</v>
      </c>
      <c r="M1" s="139" t="s">
        <v>229</v>
      </c>
      <c r="O1" s="112"/>
      <c r="P1" s="146" t="s">
        <v>226</v>
      </c>
      <c r="Q1" s="112"/>
      <c r="R1" s="104"/>
      <c r="S1" s="375"/>
      <c r="T1" s="375"/>
      <c r="U1" s="131"/>
      <c r="V1" s="104"/>
      <c r="W1" s="104"/>
      <c r="X1" s="104"/>
      <c r="Y1" s="104"/>
      <c r="Z1" s="104"/>
      <c r="AA1" s="104"/>
      <c r="AB1" s="104"/>
    </row>
    <row r="2" spans="1:28" x14ac:dyDescent="0.3">
      <c r="A2" s="12" t="s">
        <v>44</v>
      </c>
      <c r="B2" s="13">
        <v>44201</v>
      </c>
      <c r="C2" s="74" t="s">
        <v>8</v>
      </c>
      <c r="D2" s="76" t="s">
        <v>45</v>
      </c>
      <c r="E2" s="76" t="s">
        <v>46</v>
      </c>
      <c r="F2" s="76" t="s">
        <v>47</v>
      </c>
      <c r="G2" s="77" t="s">
        <v>48</v>
      </c>
      <c r="H2" s="75">
        <v>44201</v>
      </c>
      <c r="I2" s="79">
        <v>102356</v>
      </c>
      <c r="J2" s="79">
        <f ca="1">VLOOKUP(F2,$R$17:$T$23,2,0)+VLOOKUP(F2,$R$17:$T$23,3,0)*(YEAR(TODAY())-YEAR(H2))</f>
        <v>23500</v>
      </c>
      <c r="K2" s="145"/>
      <c r="L2" s="145"/>
      <c r="M2" s="145"/>
      <c r="N2" s="105"/>
      <c r="O2" s="105"/>
      <c r="P2" s="132"/>
      <c r="Q2" s="133"/>
      <c r="R2" s="105"/>
      <c r="S2" s="105"/>
      <c r="T2" s="105"/>
      <c r="U2" s="105"/>
      <c r="V2" s="105"/>
      <c r="W2" s="105"/>
      <c r="X2" s="105"/>
      <c r="Y2" s="105"/>
      <c r="Z2" s="105"/>
      <c r="AA2" s="105"/>
      <c r="AB2" s="105"/>
    </row>
    <row r="3" spans="1:28" x14ac:dyDescent="0.3">
      <c r="A3" s="18" t="s">
        <v>49</v>
      </c>
      <c r="B3" s="19">
        <v>44207</v>
      </c>
      <c r="C3" s="86" t="s">
        <v>10</v>
      </c>
      <c r="D3" s="88" t="s">
        <v>50</v>
      </c>
      <c r="E3" s="88" t="s">
        <v>51</v>
      </c>
      <c r="F3" s="88" t="s">
        <v>52</v>
      </c>
      <c r="G3" s="89" t="s">
        <v>53</v>
      </c>
      <c r="H3" s="87">
        <v>44207</v>
      </c>
      <c r="I3" s="79">
        <v>256968</v>
      </c>
      <c r="J3" s="79">
        <f t="shared" ref="J3:J28" ca="1" si="0">VLOOKUP(F3,$R$17:$T$23,2,0)+VLOOKUP(F3,$R$17:$T$23,3,0)*(YEAR(TODAY())-YEAR(H3))</f>
        <v>25900</v>
      </c>
      <c r="K3" s="145"/>
      <c r="L3" s="145"/>
      <c r="M3" s="145"/>
      <c r="N3" s="105"/>
      <c r="O3" s="105"/>
      <c r="P3" s="132"/>
      <c r="Q3" s="133"/>
      <c r="R3" s="105"/>
      <c r="S3" s="105"/>
      <c r="T3" s="105"/>
      <c r="U3" s="105"/>
      <c r="V3" s="105"/>
      <c r="W3" s="105"/>
      <c r="X3" s="105"/>
      <c r="Y3" s="105"/>
      <c r="Z3" s="105"/>
      <c r="AA3" s="105"/>
      <c r="AB3" s="105"/>
    </row>
    <row r="4" spans="1:28" x14ac:dyDescent="0.3">
      <c r="A4" s="12" t="s">
        <v>54</v>
      </c>
      <c r="B4" s="13">
        <v>43113</v>
      </c>
      <c r="C4" s="74" t="s">
        <v>12</v>
      </c>
      <c r="D4" s="76" t="s">
        <v>55</v>
      </c>
      <c r="E4" s="76" t="s">
        <v>56</v>
      </c>
      <c r="F4" s="76" t="s">
        <v>57</v>
      </c>
      <c r="G4" s="77" t="s">
        <v>48</v>
      </c>
      <c r="H4" s="75">
        <v>43113</v>
      </c>
      <c r="I4" s="79">
        <v>110875</v>
      </c>
      <c r="J4" s="79">
        <f t="shared" ca="1" si="0"/>
        <v>17500</v>
      </c>
      <c r="K4" s="145"/>
      <c r="L4" s="145"/>
      <c r="M4" s="145"/>
      <c r="N4" s="105"/>
      <c r="O4" s="105"/>
      <c r="P4" s="132"/>
      <c r="Q4" s="133"/>
      <c r="R4" s="105"/>
      <c r="S4" s="105"/>
      <c r="T4" s="105"/>
      <c r="U4" s="105"/>
      <c r="V4" s="105"/>
      <c r="W4" s="105"/>
      <c r="X4" s="105"/>
      <c r="Y4" s="105"/>
      <c r="Z4" s="105"/>
      <c r="AA4" s="105"/>
      <c r="AB4" s="105"/>
    </row>
    <row r="5" spans="1:28" x14ac:dyDescent="0.3">
      <c r="A5" s="18" t="s">
        <v>58</v>
      </c>
      <c r="B5" s="19">
        <v>43125</v>
      </c>
      <c r="C5" s="86" t="s">
        <v>13</v>
      </c>
      <c r="D5" s="88" t="s">
        <v>59</v>
      </c>
      <c r="E5" s="88" t="s">
        <v>60</v>
      </c>
      <c r="F5" s="88" t="s">
        <v>61</v>
      </c>
      <c r="G5" s="89" t="s">
        <v>53</v>
      </c>
      <c r="H5" s="87">
        <v>43125</v>
      </c>
      <c r="I5" s="79">
        <v>236000</v>
      </c>
      <c r="J5" s="79">
        <f t="shared" ca="1" si="0"/>
        <v>14000</v>
      </c>
      <c r="K5" s="145"/>
      <c r="L5" s="145"/>
      <c r="M5" s="145"/>
      <c r="N5" s="105"/>
      <c r="O5" s="105"/>
      <c r="P5" s="132"/>
      <c r="Q5" s="133"/>
      <c r="R5" s="105"/>
      <c r="S5" s="105"/>
      <c r="T5" s="105"/>
      <c r="U5" s="105"/>
      <c r="V5" s="105"/>
      <c r="W5" s="105"/>
      <c r="X5" s="105"/>
      <c r="Y5" s="105"/>
      <c r="Z5" s="105"/>
      <c r="AA5" s="105"/>
      <c r="AB5" s="105"/>
    </row>
    <row r="6" spans="1:28" x14ac:dyDescent="0.3">
      <c r="A6" s="12" t="s">
        <v>62</v>
      </c>
      <c r="B6" s="13">
        <v>43857</v>
      </c>
      <c r="C6" s="74" t="s">
        <v>14</v>
      </c>
      <c r="D6" s="76" t="s">
        <v>63</v>
      </c>
      <c r="E6" s="76" t="s">
        <v>64</v>
      </c>
      <c r="F6" s="76" t="s">
        <v>65</v>
      </c>
      <c r="G6" s="77" t="s">
        <v>48</v>
      </c>
      <c r="H6" s="75">
        <v>43857</v>
      </c>
      <c r="I6" s="79">
        <v>100000</v>
      </c>
      <c r="J6" s="79">
        <f t="shared" ca="1" si="0"/>
        <v>12200</v>
      </c>
      <c r="K6" s="145"/>
      <c r="L6" s="145"/>
      <c r="M6" s="145"/>
      <c r="N6" s="105"/>
      <c r="O6" s="105"/>
      <c r="P6" s="132"/>
      <c r="Q6" s="133"/>
      <c r="R6" s="105"/>
      <c r="S6" s="105"/>
      <c r="T6" s="105"/>
      <c r="U6" s="105"/>
      <c r="V6" s="105"/>
      <c r="W6" s="105"/>
      <c r="X6" s="105"/>
      <c r="Y6" s="105"/>
      <c r="Z6" s="105"/>
      <c r="AA6" s="105"/>
      <c r="AB6" s="105"/>
    </row>
    <row r="7" spans="1:28" x14ac:dyDescent="0.3">
      <c r="A7" s="18" t="s">
        <v>66</v>
      </c>
      <c r="B7" s="19">
        <v>43865</v>
      </c>
      <c r="C7" s="86" t="s">
        <v>13</v>
      </c>
      <c r="D7" s="88" t="s">
        <v>67</v>
      </c>
      <c r="E7" s="88" t="s">
        <v>68</v>
      </c>
      <c r="F7" s="88" t="s">
        <v>69</v>
      </c>
      <c r="G7" s="89" t="s">
        <v>48</v>
      </c>
      <c r="H7" s="87">
        <v>43865</v>
      </c>
      <c r="I7" s="79">
        <v>280756</v>
      </c>
      <c r="J7" s="79">
        <f t="shared" ca="1" si="0"/>
        <v>16600</v>
      </c>
      <c r="K7" s="145"/>
      <c r="L7" s="145"/>
      <c r="M7" s="145"/>
      <c r="N7" s="105"/>
      <c r="O7" s="105"/>
      <c r="P7" s="132"/>
      <c r="Q7" s="133"/>
      <c r="R7" s="105"/>
      <c r="S7" s="105"/>
      <c r="T7" s="104"/>
      <c r="U7" s="104"/>
      <c r="V7" s="105"/>
      <c r="W7" s="105"/>
      <c r="X7" s="105"/>
      <c r="Y7" s="105"/>
      <c r="Z7" s="105"/>
      <c r="AA7" s="105"/>
      <c r="AB7" s="105"/>
    </row>
    <row r="8" spans="1:28" x14ac:dyDescent="0.3">
      <c r="A8" s="12" t="s">
        <v>70</v>
      </c>
      <c r="B8" s="13">
        <v>43509</v>
      </c>
      <c r="C8" s="74" t="s">
        <v>15</v>
      </c>
      <c r="D8" s="76" t="s">
        <v>71</v>
      </c>
      <c r="E8" s="76" t="s">
        <v>60</v>
      </c>
      <c r="F8" s="76" t="s">
        <v>72</v>
      </c>
      <c r="G8" s="77" t="s">
        <v>48</v>
      </c>
      <c r="H8" s="75">
        <v>43509</v>
      </c>
      <c r="I8" s="79">
        <v>456890</v>
      </c>
      <c r="J8" s="79">
        <f t="shared" ca="1" si="0"/>
        <v>12750</v>
      </c>
      <c r="K8" s="145"/>
      <c r="L8" s="145"/>
      <c r="M8" s="145"/>
      <c r="N8" s="105"/>
      <c r="O8" s="105"/>
      <c r="P8" s="132"/>
      <c r="Q8" s="133"/>
      <c r="R8" s="105"/>
      <c r="S8" s="105"/>
      <c r="T8" s="105"/>
      <c r="U8" s="104"/>
      <c r="V8" s="105"/>
      <c r="W8" s="105"/>
      <c r="X8" s="105"/>
      <c r="Y8" s="105"/>
      <c r="Z8" s="105"/>
      <c r="AA8" s="105"/>
      <c r="AB8" s="105"/>
    </row>
    <row r="9" spans="1:28" x14ac:dyDescent="0.3">
      <c r="A9" s="18" t="s">
        <v>73</v>
      </c>
      <c r="B9" s="19">
        <v>43552</v>
      </c>
      <c r="C9" s="86" t="s">
        <v>16</v>
      </c>
      <c r="D9" s="88" t="s">
        <v>74</v>
      </c>
      <c r="E9" s="88" t="s">
        <v>75</v>
      </c>
      <c r="F9" s="88" t="s">
        <v>47</v>
      </c>
      <c r="G9" s="91" t="s">
        <v>76</v>
      </c>
      <c r="H9" s="87">
        <v>43552</v>
      </c>
      <c r="I9" s="79">
        <v>98653</v>
      </c>
      <c r="J9" s="79">
        <f t="shared" ca="1" si="0"/>
        <v>24500</v>
      </c>
      <c r="K9" s="145"/>
      <c r="L9" s="145"/>
      <c r="M9" s="145"/>
      <c r="N9" s="105"/>
      <c r="O9" s="105"/>
      <c r="P9" s="132"/>
      <c r="Q9" s="133"/>
      <c r="R9" s="105"/>
      <c r="S9" s="105"/>
      <c r="T9" s="105"/>
      <c r="U9" s="105"/>
      <c r="V9" s="105"/>
      <c r="W9" s="105"/>
      <c r="X9" s="105"/>
      <c r="Y9" s="105"/>
      <c r="Z9" s="105"/>
      <c r="AA9" s="105"/>
      <c r="AB9" s="105"/>
    </row>
    <row r="10" spans="1:28" x14ac:dyDescent="0.3">
      <c r="A10" s="12" t="s">
        <v>77</v>
      </c>
      <c r="B10" s="13">
        <v>43558</v>
      </c>
      <c r="C10" s="74" t="s">
        <v>17</v>
      </c>
      <c r="D10" s="76" t="s">
        <v>78</v>
      </c>
      <c r="E10" s="76" t="s">
        <v>79</v>
      </c>
      <c r="F10" s="76" t="s">
        <v>52</v>
      </c>
      <c r="G10" s="77" t="s">
        <v>53</v>
      </c>
      <c r="H10" s="75">
        <v>43558</v>
      </c>
      <c r="I10" s="79">
        <v>75000</v>
      </c>
      <c r="J10" s="79">
        <f t="shared" ca="1" si="0"/>
        <v>26500</v>
      </c>
      <c r="K10" s="145"/>
      <c r="L10" s="145"/>
      <c r="M10" s="145"/>
      <c r="N10" s="105"/>
      <c r="O10" s="105"/>
      <c r="P10" s="132"/>
      <c r="Q10" s="133"/>
      <c r="R10" s="105"/>
      <c r="S10" s="105"/>
      <c r="T10" s="121"/>
      <c r="U10" s="104"/>
      <c r="V10" s="105"/>
      <c r="W10" s="105"/>
      <c r="X10" s="105"/>
      <c r="Y10" s="105"/>
      <c r="Z10" s="105"/>
      <c r="AA10" s="105"/>
      <c r="AB10" s="105"/>
    </row>
    <row r="11" spans="1:28" x14ac:dyDescent="0.3">
      <c r="A11" s="18" t="s">
        <v>80</v>
      </c>
      <c r="B11" s="19">
        <v>43207</v>
      </c>
      <c r="C11" s="86" t="s">
        <v>18</v>
      </c>
      <c r="D11" s="88" t="s">
        <v>81</v>
      </c>
      <c r="E11" s="88" t="s">
        <v>82</v>
      </c>
      <c r="F11" s="88" t="s">
        <v>57</v>
      </c>
      <c r="G11" s="91" t="s">
        <v>76</v>
      </c>
      <c r="H11" s="87">
        <v>43207</v>
      </c>
      <c r="I11" s="79">
        <v>120332</v>
      </c>
      <c r="J11" s="79">
        <f t="shared" ca="1" si="0"/>
        <v>17500</v>
      </c>
      <c r="K11" s="145"/>
      <c r="L11" s="145"/>
      <c r="M11" s="145"/>
      <c r="N11" s="105"/>
      <c r="O11" s="105"/>
      <c r="P11" s="132"/>
      <c r="Q11" s="133"/>
      <c r="R11" s="105"/>
      <c r="S11" s="105"/>
      <c r="T11" s="105"/>
      <c r="U11" s="105"/>
      <c r="V11" s="105"/>
      <c r="W11" s="105"/>
      <c r="X11" s="105"/>
      <c r="Y11" s="105"/>
      <c r="Z11" s="105"/>
      <c r="AA11" s="105"/>
      <c r="AB11" s="105"/>
    </row>
    <row r="12" spans="1:28" x14ac:dyDescent="0.3">
      <c r="A12" s="12" t="s">
        <v>83</v>
      </c>
      <c r="B12" s="13">
        <v>43213</v>
      </c>
      <c r="C12" s="74" t="s">
        <v>20</v>
      </c>
      <c r="D12" s="76" t="s">
        <v>84</v>
      </c>
      <c r="E12" s="76" t="s">
        <v>64</v>
      </c>
      <c r="F12" s="76" t="s">
        <v>61</v>
      </c>
      <c r="G12" s="77" t="s">
        <v>48</v>
      </c>
      <c r="H12" s="75">
        <v>43213</v>
      </c>
      <c r="I12" s="79">
        <v>140000</v>
      </c>
      <c r="J12" s="79">
        <f t="shared" ca="1" si="0"/>
        <v>14000</v>
      </c>
      <c r="K12" s="145"/>
      <c r="L12" s="145"/>
      <c r="M12" s="145"/>
      <c r="N12" s="105"/>
      <c r="O12" s="105"/>
      <c r="P12" s="132"/>
      <c r="Q12" s="133"/>
      <c r="R12" s="105"/>
      <c r="S12" s="105"/>
      <c r="T12" s="105"/>
      <c r="U12" s="105"/>
      <c r="V12" s="105"/>
      <c r="W12" s="105"/>
      <c r="X12" s="105"/>
      <c r="Y12" s="105"/>
      <c r="Z12" s="105"/>
      <c r="AA12" s="105"/>
      <c r="AB12" s="105"/>
    </row>
    <row r="13" spans="1:28" x14ac:dyDescent="0.3">
      <c r="A13" s="18" t="s">
        <v>85</v>
      </c>
      <c r="B13" s="19">
        <v>43216</v>
      </c>
      <c r="C13" s="86" t="s">
        <v>21</v>
      </c>
      <c r="D13" s="88" t="s">
        <v>86</v>
      </c>
      <c r="E13" s="88" t="s">
        <v>64</v>
      </c>
      <c r="F13" s="88" t="s">
        <v>65</v>
      </c>
      <c r="G13" s="89" t="s">
        <v>48</v>
      </c>
      <c r="H13" s="87">
        <v>43216</v>
      </c>
      <c r="I13" s="79">
        <v>875875</v>
      </c>
      <c r="J13" s="79">
        <f t="shared" ca="1" si="0"/>
        <v>13300</v>
      </c>
      <c r="K13" s="145"/>
      <c r="L13" s="145"/>
      <c r="M13" s="145"/>
      <c r="N13" s="105"/>
      <c r="O13" s="105"/>
      <c r="P13" s="132"/>
      <c r="Q13" s="133"/>
      <c r="R13" s="105"/>
      <c r="S13" s="105"/>
      <c r="T13" s="105"/>
      <c r="U13" s="105"/>
      <c r="V13" s="105"/>
      <c r="W13" s="105"/>
      <c r="X13" s="105"/>
      <c r="Y13" s="105"/>
      <c r="Z13" s="105"/>
      <c r="AA13" s="105"/>
      <c r="AB13" s="105"/>
    </row>
    <row r="14" spans="1:28" x14ac:dyDescent="0.3">
      <c r="A14" s="12" t="s">
        <v>87</v>
      </c>
      <c r="B14" s="13">
        <v>43221</v>
      </c>
      <c r="C14" s="74" t="s">
        <v>22</v>
      </c>
      <c r="D14" s="76" t="s">
        <v>88</v>
      </c>
      <c r="E14" s="76" t="s">
        <v>60</v>
      </c>
      <c r="F14" s="76" t="s">
        <v>69</v>
      </c>
      <c r="G14" s="77" t="s">
        <v>53</v>
      </c>
      <c r="H14" s="75">
        <v>43221</v>
      </c>
      <c r="I14" s="79">
        <v>200000</v>
      </c>
      <c r="J14" s="79">
        <f t="shared" ca="1" si="0"/>
        <v>17400</v>
      </c>
      <c r="K14" s="145"/>
      <c r="L14" s="145"/>
      <c r="M14" s="145"/>
      <c r="N14" s="105"/>
      <c r="O14" s="105"/>
      <c r="P14" s="132"/>
      <c r="Q14" s="133"/>
      <c r="R14" s="134" t="s">
        <v>227</v>
      </c>
      <c r="S14" s="134"/>
      <c r="T14" s="135"/>
      <c r="U14" s="112"/>
      <c r="V14" s="112"/>
      <c r="W14" s="105"/>
      <c r="X14" s="105"/>
      <c r="Y14" s="105"/>
      <c r="Z14" s="105"/>
      <c r="AA14" s="105"/>
      <c r="AB14" s="105"/>
    </row>
    <row r="15" spans="1:28" x14ac:dyDescent="0.3">
      <c r="A15" s="18" t="s">
        <v>89</v>
      </c>
      <c r="B15" s="19">
        <v>43975</v>
      </c>
      <c r="C15" s="86" t="s">
        <v>23</v>
      </c>
      <c r="D15" s="88" t="s">
        <v>90</v>
      </c>
      <c r="E15" s="88" t="s">
        <v>46</v>
      </c>
      <c r="F15" s="88" t="s">
        <v>72</v>
      </c>
      <c r="G15" s="89" t="s">
        <v>48</v>
      </c>
      <c r="H15" s="87">
        <v>43975</v>
      </c>
      <c r="I15" s="79">
        <v>360250</v>
      </c>
      <c r="J15" s="79">
        <f t="shared" ca="1" si="0"/>
        <v>12600</v>
      </c>
      <c r="K15" s="145"/>
      <c r="L15" s="145"/>
      <c r="M15" s="145"/>
      <c r="N15" s="105"/>
      <c r="O15" s="105"/>
      <c r="P15" s="105"/>
      <c r="Q15" s="105"/>
      <c r="R15" s="376" t="s">
        <v>222</v>
      </c>
      <c r="S15" s="376"/>
      <c r="T15" s="376"/>
      <c r="U15" s="105"/>
      <c r="V15" s="105"/>
      <c r="W15" s="105"/>
      <c r="X15" s="105"/>
      <c r="Y15" s="105"/>
      <c r="Z15" s="105"/>
      <c r="AA15" s="105"/>
      <c r="AB15" s="105"/>
    </row>
    <row r="16" spans="1:28" ht="28.8" x14ac:dyDescent="0.3">
      <c r="A16" s="12" t="s">
        <v>91</v>
      </c>
      <c r="B16" s="13">
        <v>43990</v>
      </c>
      <c r="C16" s="74" t="s">
        <v>24</v>
      </c>
      <c r="D16" s="76" t="s">
        <v>92</v>
      </c>
      <c r="E16" s="76" t="s">
        <v>82</v>
      </c>
      <c r="F16" s="76" t="s">
        <v>47</v>
      </c>
      <c r="G16" s="77" t="s">
        <v>48</v>
      </c>
      <c r="H16" s="75">
        <v>43990</v>
      </c>
      <c r="I16" s="79">
        <v>422365</v>
      </c>
      <c r="J16" s="79">
        <f t="shared" ca="1" si="0"/>
        <v>24000</v>
      </c>
      <c r="K16" s="145"/>
      <c r="L16" s="145"/>
      <c r="M16" s="145"/>
      <c r="N16" s="105"/>
      <c r="O16" s="105"/>
      <c r="P16" s="105"/>
      <c r="Q16" s="105"/>
      <c r="R16" s="142" t="s">
        <v>40</v>
      </c>
      <c r="S16" s="144" t="s">
        <v>223</v>
      </c>
      <c r="T16" s="141" t="s">
        <v>230</v>
      </c>
      <c r="U16" s="105"/>
      <c r="V16" s="105"/>
      <c r="W16" s="105"/>
      <c r="X16" s="105"/>
      <c r="Y16" s="105"/>
      <c r="Z16" s="105"/>
      <c r="AA16" s="105"/>
      <c r="AB16" s="105"/>
    </row>
    <row r="17" spans="1:28" x14ac:dyDescent="0.3">
      <c r="A17" s="18" t="s">
        <v>93</v>
      </c>
      <c r="B17" s="19">
        <v>43997</v>
      </c>
      <c r="C17" s="86" t="s">
        <v>25</v>
      </c>
      <c r="D17" s="88" t="s">
        <v>94</v>
      </c>
      <c r="E17" s="88" t="s">
        <v>75</v>
      </c>
      <c r="F17" s="88" t="s">
        <v>52</v>
      </c>
      <c r="G17" s="89" t="s">
        <v>48</v>
      </c>
      <c r="H17" s="87">
        <v>43997</v>
      </c>
      <c r="I17" s="79">
        <v>123456</v>
      </c>
      <c r="J17" s="79">
        <f t="shared" ca="1" si="0"/>
        <v>26200</v>
      </c>
      <c r="K17" s="145"/>
      <c r="L17" s="145"/>
      <c r="M17" s="145"/>
      <c r="N17" s="105"/>
      <c r="O17" s="105"/>
      <c r="P17" s="105"/>
      <c r="Q17" s="105"/>
      <c r="R17" s="99" t="s">
        <v>47</v>
      </c>
      <c r="S17" s="100">
        <v>22000</v>
      </c>
      <c r="T17" s="101">
        <v>500</v>
      </c>
      <c r="U17" s="105"/>
      <c r="V17" s="105"/>
      <c r="W17" s="105"/>
      <c r="X17" s="105"/>
      <c r="Y17" s="105"/>
      <c r="Z17" s="105"/>
      <c r="AA17" s="105"/>
      <c r="AB17" s="105"/>
    </row>
    <row r="18" spans="1:28" x14ac:dyDescent="0.3">
      <c r="A18" s="12" t="s">
        <v>95</v>
      </c>
      <c r="B18" s="13">
        <v>43705</v>
      </c>
      <c r="C18" s="74" t="s">
        <v>20</v>
      </c>
      <c r="D18" s="76" t="s">
        <v>96</v>
      </c>
      <c r="E18" s="76" t="s">
        <v>75</v>
      </c>
      <c r="F18" s="76" t="s">
        <v>57</v>
      </c>
      <c r="G18" s="77" t="s">
        <v>48</v>
      </c>
      <c r="H18" s="75">
        <v>43705</v>
      </c>
      <c r="I18" s="79">
        <v>187654</v>
      </c>
      <c r="J18" s="79">
        <f t="shared" ca="1" si="0"/>
        <v>16750</v>
      </c>
      <c r="K18" s="145"/>
      <c r="L18" s="145"/>
      <c r="M18" s="145"/>
      <c r="N18" s="105"/>
      <c r="O18" s="105"/>
      <c r="P18" s="105"/>
      <c r="Q18" s="105"/>
      <c r="R18" s="102" t="s">
        <v>52</v>
      </c>
      <c r="S18" s="100">
        <v>25000</v>
      </c>
      <c r="T18" s="101">
        <v>300</v>
      </c>
      <c r="U18" s="105"/>
      <c r="V18" s="105"/>
      <c r="W18" s="105"/>
      <c r="X18" s="105"/>
      <c r="Y18" s="105"/>
      <c r="Z18" s="105"/>
      <c r="AA18" s="105"/>
      <c r="AB18" s="105"/>
    </row>
    <row r="19" spans="1:28" x14ac:dyDescent="0.3">
      <c r="A19" s="18" t="s">
        <v>97</v>
      </c>
      <c r="B19" s="19">
        <v>44438</v>
      </c>
      <c r="C19" s="86" t="s">
        <v>26</v>
      </c>
      <c r="D19" s="88" t="s">
        <v>98</v>
      </c>
      <c r="E19" s="88" t="s">
        <v>56</v>
      </c>
      <c r="F19" s="88" t="s">
        <v>61</v>
      </c>
      <c r="G19" s="89" t="s">
        <v>48</v>
      </c>
      <c r="H19" s="87">
        <v>44438</v>
      </c>
      <c r="I19" s="79">
        <v>440000</v>
      </c>
      <c r="J19" s="79">
        <f t="shared" ca="1" si="0"/>
        <v>13250</v>
      </c>
      <c r="K19" s="145"/>
      <c r="L19" s="145"/>
      <c r="M19" s="145"/>
      <c r="N19" s="105"/>
      <c r="O19" s="105"/>
      <c r="P19" s="105"/>
      <c r="Q19" s="105"/>
      <c r="R19" s="99" t="s">
        <v>57</v>
      </c>
      <c r="S19" s="100">
        <v>13000</v>
      </c>
      <c r="T19" s="101">
        <v>750</v>
      </c>
      <c r="U19" s="105"/>
      <c r="V19" s="105"/>
      <c r="W19" s="105"/>
      <c r="X19" s="105"/>
      <c r="Y19" s="105"/>
      <c r="Z19" s="105"/>
      <c r="AA19" s="105"/>
      <c r="AB19" s="105"/>
    </row>
    <row r="20" spans="1:28" x14ac:dyDescent="0.3">
      <c r="A20" s="12" t="s">
        <v>99</v>
      </c>
      <c r="B20" s="13">
        <v>43710</v>
      </c>
      <c r="C20" s="74" t="s">
        <v>27</v>
      </c>
      <c r="D20" s="76" t="s">
        <v>100</v>
      </c>
      <c r="E20" s="76" t="s">
        <v>101</v>
      </c>
      <c r="F20" s="76" t="s">
        <v>69</v>
      </c>
      <c r="G20" s="92" t="s">
        <v>76</v>
      </c>
      <c r="H20" s="75">
        <v>43710</v>
      </c>
      <c r="I20" s="79">
        <v>365125</v>
      </c>
      <c r="J20" s="79">
        <f t="shared" ca="1" si="0"/>
        <v>17000</v>
      </c>
      <c r="K20" s="145"/>
      <c r="L20" s="145"/>
      <c r="M20" s="145"/>
      <c r="N20" s="105"/>
      <c r="O20" s="105"/>
      <c r="P20" s="105"/>
      <c r="Q20" s="105"/>
      <c r="R20" s="102" t="s">
        <v>61</v>
      </c>
      <c r="S20" s="100">
        <v>12500</v>
      </c>
      <c r="T20" s="101">
        <v>250</v>
      </c>
      <c r="U20" s="105"/>
      <c r="V20" s="105"/>
      <c r="W20" s="105"/>
      <c r="X20" s="105"/>
      <c r="Y20" s="105"/>
      <c r="Z20" s="105"/>
      <c r="AA20" s="105"/>
      <c r="AB20" s="105"/>
    </row>
    <row r="21" spans="1:28" x14ac:dyDescent="0.3">
      <c r="A21" s="18" t="s">
        <v>102</v>
      </c>
      <c r="B21" s="19">
        <v>43722</v>
      </c>
      <c r="C21" s="86" t="s">
        <v>28</v>
      </c>
      <c r="D21" s="88" t="s">
        <v>103</v>
      </c>
      <c r="E21" s="88" t="s">
        <v>75</v>
      </c>
      <c r="F21" s="88" t="s">
        <v>72</v>
      </c>
      <c r="G21" s="89" t="s">
        <v>48</v>
      </c>
      <c r="H21" s="87">
        <v>43722</v>
      </c>
      <c r="I21" s="79">
        <v>321987</v>
      </c>
      <c r="J21" s="79">
        <f t="shared" ca="1" si="0"/>
        <v>12750</v>
      </c>
      <c r="K21" s="145"/>
      <c r="L21" s="145"/>
      <c r="M21" s="145"/>
      <c r="N21" s="105"/>
      <c r="O21" s="105"/>
      <c r="P21" s="105"/>
      <c r="Q21" s="105"/>
      <c r="R21" s="99" t="s">
        <v>65</v>
      </c>
      <c r="S21" s="100">
        <v>10000</v>
      </c>
      <c r="T21" s="101">
        <v>550</v>
      </c>
      <c r="U21" s="105"/>
      <c r="V21" s="105"/>
      <c r="W21" s="105"/>
      <c r="X21" s="105"/>
      <c r="Y21" s="105"/>
      <c r="Z21" s="105"/>
      <c r="AA21" s="105"/>
      <c r="AB21" s="105"/>
    </row>
    <row r="22" spans="1:28" x14ac:dyDescent="0.3">
      <c r="A22" s="12" t="s">
        <v>104</v>
      </c>
      <c r="B22" s="13">
        <v>43365</v>
      </c>
      <c r="C22" s="74" t="s">
        <v>29</v>
      </c>
      <c r="D22" s="76" t="s">
        <v>105</v>
      </c>
      <c r="E22" s="76" t="s">
        <v>60</v>
      </c>
      <c r="F22" s="76" t="s">
        <v>47</v>
      </c>
      <c r="G22" s="77" t="s">
        <v>48</v>
      </c>
      <c r="H22" s="75">
        <v>43365</v>
      </c>
      <c r="I22" s="79">
        <v>133455</v>
      </c>
      <c r="J22" s="79">
        <f t="shared" ca="1" si="0"/>
        <v>25000</v>
      </c>
      <c r="K22" s="145"/>
      <c r="L22" s="145"/>
      <c r="M22" s="145"/>
      <c r="N22" s="105"/>
      <c r="O22" s="105"/>
      <c r="P22" s="105"/>
      <c r="Q22" s="105"/>
      <c r="R22" s="102" t="s">
        <v>69</v>
      </c>
      <c r="S22" s="100">
        <v>15000</v>
      </c>
      <c r="T22" s="101">
        <v>400</v>
      </c>
      <c r="U22" s="105"/>
      <c r="V22" s="105"/>
      <c r="W22" s="105"/>
      <c r="X22" s="105"/>
      <c r="Y22" s="105"/>
      <c r="Z22" s="105"/>
      <c r="AA22" s="105"/>
      <c r="AB22" s="105"/>
    </row>
    <row r="23" spans="1:28" x14ac:dyDescent="0.3">
      <c r="A23" s="18" t="s">
        <v>106</v>
      </c>
      <c r="B23" s="19">
        <v>43389</v>
      </c>
      <c r="C23" s="86" t="s">
        <v>30</v>
      </c>
      <c r="D23" s="88" t="s">
        <v>107</v>
      </c>
      <c r="E23" s="88" t="s">
        <v>108</v>
      </c>
      <c r="F23" s="88" t="s">
        <v>52</v>
      </c>
      <c r="G23" s="89" t="s">
        <v>48</v>
      </c>
      <c r="H23" s="87">
        <v>43389</v>
      </c>
      <c r="I23" s="79">
        <v>170000</v>
      </c>
      <c r="J23" s="79">
        <f t="shared" ca="1" si="0"/>
        <v>26800</v>
      </c>
      <c r="K23" s="145"/>
      <c r="L23" s="145"/>
      <c r="M23" s="145"/>
      <c r="N23" s="105"/>
      <c r="O23" s="105"/>
      <c r="P23" s="105"/>
      <c r="Q23" s="105"/>
      <c r="R23" s="99" t="s">
        <v>72</v>
      </c>
      <c r="S23" s="100">
        <v>12000</v>
      </c>
      <c r="T23" s="101">
        <v>150</v>
      </c>
      <c r="U23" s="105"/>
      <c r="V23" s="105"/>
      <c r="W23" s="105"/>
      <c r="X23" s="105"/>
      <c r="Y23" s="105"/>
      <c r="Z23" s="105"/>
      <c r="AA23" s="105"/>
      <c r="AB23" s="105"/>
    </row>
    <row r="24" spans="1:28" x14ac:dyDescent="0.3">
      <c r="A24" s="12" t="s">
        <v>109</v>
      </c>
      <c r="B24" s="13">
        <v>43405</v>
      </c>
      <c r="C24" s="74" t="s">
        <v>31</v>
      </c>
      <c r="D24" s="76" t="s">
        <v>110</v>
      </c>
      <c r="E24" s="88" t="s">
        <v>68</v>
      </c>
      <c r="F24" s="76" t="s">
        <v>57</v>
      </c>
      <c r="G24" s="77" t="s">
        <v>48</v>
      </c>
      <c r="H24" s="75">
        <v>43405</v>
      </c>
      <c r="I24" s="79">
        <v>258000</v>
      </c>
      <c r="J24" s="79">
        <f t="shared" ca="1" si="0"/>
        <v>17500</v>
      </c>
      <c r="K24" s="145"/>
      <c r="L24" s="145"/>
      <c r="M24" s="145"/>
      <c r="N24" s="105"/>
      <c r="O24" s="105"/>
      <c r="P24" s="132"/>
      <c r="Q24" s="133"/>
      <c r="R24" s="105"/>
      <c r="S24" s="105"/>
      <c r="T24" s="116"/>
      <c r="U24" s="105"/>
      <c r="V24" s="105"/>
      <c r="W24" s="105"/>
      <c r="X24" s="105"/>
      <c r="Y24" s="105"/>
      <c r="Z24" s="105"/>
      <c r="AA24" s="105"/>
      <c r="AB24" s="105"/>
    </row>
    <row r="25" spans="1:28" x14ac:dyDescent="0.3">
      <c r="A25" s="18" t="s">
        <v>111</v>
      </c>
      <c r="B25" s="19">
        <v>43416</v>
      </c>
      <c r="C25" s="86" t="s">
        <v>32</v>
      </c>
      <c r="D25" s="88" t="s">
        <v>112</v>
      </c>
      <c r="E25" s="88" t="s">
        <v>113</v>
      </c>
      <c r="F25" s="88" t="s">
        <v>61</v>
      </c>
      <c r="G25" s="89" t="s">
        <v>53</v>
      </c>
      <c r="H25" s="87">
        <v>43416</v>
      </c>
      <c r="I25" s="79">
        <v>145685</v>
      </c>
      <c r="J25" s="79">
        <f t="shared" ca="1" si="0"/>
        <v>14000</v>
      </c>
      <c r="K25" s="145"/>
      <c r="L25" s="145"/>
      <c r="M25" s="145"/>
      <c r="N25" s="105"/>
      <c r="O25" s="105"/>
      <c r="P25" s="132"/>
      <c r="Q25" s="133"/>
      <c r="R25" s="105"/>
      <c r="S25" s="105"/>
      <c r="T25" s="122"/>
      <c r="U25" s="105"/>
      <c r="V25" s="105"/>
      <c r="W25" s="105"/>
      <c r="X25" s="105"/>
      <c r="Y25" s="105"/>
      <c r="Z25" s="105"/>
      <c r="AA25" s="105"/>
      <c r="AB25" s="105"/>
    </row>
    <row r="26" spans="1:28" x14ac:dyDescent="0.3">
      <c r="A26" s="12" t="s">
        <v>114</v>
      </c>
      <c r="B26" s="13">
        <v>43423</v>
      </c>
      <c r="C26" s="74" t="s">
        <v>33</v>
      </c>
      <c r="D26" s="76" t="s">
        <v>115</v>
      </c>
      <c r="E26" s="76" t="s">
        <v>56</v>
      </c>
      <c r="F26" s="76" t="s">
        <v>65</v>
      </c>
      <c r="G26" s="77" t="s">
        <v>53</v>
      </c>
      <c r="H26" s="75">
        <v>43423</v>
      </c>
      <c r="I26" s="79">
        <v>36000</v>
      </c>
      <c r="J26" s="79">
        <f t="shared" ca="1" si="0"/>
        <v>13300</v>
      </c>
      <c r="K26" s="145"/>
      <c r="L26" s="145"/>
      <c r="M26" s="145"/>
      <c r="N26" s="105"/>
      <c r="O26" s="105"/>
      <c r="P26" s="132"/>
      <c r="Q26" s="133"/>
      <c r="R26" s="105"/>
      <c r="S26" s="105"/>
      <c r="T26" s="105"/>
      <c r="U26" s="105"/>
      <c r="V26" s="105"/>
      <c r="W26" s="105"/>
      <c r="X26" s="105"/>
      <c r="Y26" s="105"/>
      <c r="Z26" s="105"/>
      <c r="AA26" s="105"/>
      <c r="AB26" s="105"/>
    </row>
    <row r="27" spans="1:28" x14ac:dyDescent="0.3">
      <c r="A27" s="18" t="s">
        <v>116</v>
      </c>
      <c r="B27" s="19">
        <v>43426</v>
      </c>
      <c r="C27" s="86" t="s">
        <v>117</v>
      </c>
      <c r="D27" s="88" t="s">
        <v>118</v>
      </c>
      <c r="E27" s="88" t="s">
        <v>79</v>
      </c>
      <c r="F27" s="88" t="s">
        <v>69</v>
      </c>
      <c r="G27" s="91" t="s">
        <v>76</v>
      </c>
      <c r="H27" s="87">
        <v>43426</v>
      </c>
      <c r="I27" s="79">
        <v>77000</v>
      </c>
      <c r="J27" s="79">
        <f t="shared" ca="1" si="0"/>
        <v>17400</v>
      </c>
      <c r="K27" s="145"/>
      <c r="L27" s="145"/>
      <c r="M27" s="145"/>
      <c r="N27" s="105"/>
      <c r="O27" s="105"/>
      <c r="P27" s="132"/>
      <c r="Q27" s="133"/>
      <c r="R27" s="105"/>
      <c r="S27" s="105"/>
      <c r="T27" s="105"/>
      <c r="U27" s="105"/>
      <c r="V27" s="105"/>
      <c r="W27" s="105"/>
      <c r="X27" s="105"/>
      <c r="Y27" s="105"/>
      <c r="Z27" s="105"/>
      <c r="AA27" s="105"/>
      <c r="AB27" s="105"/>
    </row>
    <row r="28" spans="1:28" x14ac:dyDescent="0.3">
      <c r="A28" s="25" t="s">
        <v>119</v>
      </c>
      <c r="B28" s="26">
        <v>44525</v>
      </c>
      <c r="C28" s="93" t="s">
        <v>120</v>
      </c>
      <c r="D28" s="95" t="s">
        <v>121</v>
      </c>
      <c r="E28" s="95" t="s">
        <v>101</v>
      </c>
      <c r="F28" s="95" t="s">
        <v>72</v>
      </c>
      <c r="G28" s="96" t="s">
        <v>48</v>
      </c>
      <c r="H28" s="94">
        <v>44525</v>
      </c>
      <c r="I28" s="79">
        <v>280000</v>
      </c>
      <c r="J28" s="79">
        <f t="shared" ca="1" si="0"/>
        <v>12450</v>
      </c>
      <c r="K28" s="145"/>
      <c r="L28" s="145"/>
      <c r="M28" s="145"/>
      <c r="N28" s="105"/>
      <c r="O28" s="105"/>
      <c r="P28" s="132"/>
      <c r="Q28" s="133"/>
      <c r="R28" s="105"/>
      <c r="S28" s="105"/>
      <c r="T28" s="105"/>
      <c r="U28" s="105"/>
      <c r="V28" s="105"/>
      <c r="W28" s="105"/>
      <c r="X28" s="105"/>
      <c r="Y28" s="105"/>
      <c r="Z28" s="105"/>
      <c r="AA28" s="105"/>
      <c r="AB28" s="105"/>
    </row>
    <row r="29" spans="1:28" x14ac:dyDescent="0.3">
      <c r="A29" s="106"/>
      <c r="C29" s="106"/>
      <c r="D29" s="106"/>
      <c r="E29" s="106"/>
      <c r="F29" s="106"/>
      <c r="G29" s="105"/>
      <c r="H29" s="106"/>
      <c r="I29" s="105"/>
      <c r="J29" s="105"/>
      <c r="K29" s="105"/>
      <c r="L29" s="105"/>
      <c r="M29" s="105"/>
      <c r="N29" s="105"/>
      <c r="O29" s="105"/>
      <c r="P29" s="105"/>
      <c r="Q29" s="105"/>
      <c r="R29" s="105"/>
      <c r="S29" s="105"/>
      <c r="T29" s="105"/>
      <c r="U29" s="105"/>
      <c r="V29" s="105"/>
      <c r="W29" s="105"/>
      <c r="X29" s="105"/>
      <c r="Y29" s="105"/>
      <c r="Z29" s="105"/>
      <c r="AA29" s="105"/>
      <c r="AB29" s="105"/>
    </row>
    <row r="30" spans="1:28" x14ac:dyDescent="0.3">
      <c r="A30" s="106"/>
      <c r="C30" s="106"/>
      <c r="D30" s="106"/>
      <c r="E30" s="106"/>
      <c r="F30" s="106"/>
      <c r="G30" s="105"/>
      <c r="H30" s="106"/>
      <c r="I30" s="105"/>
      <c r="J30" s="105"/>
      <c r="K30" s="105"/>
      <c r="L30" s="107"/>
      <c r="M30" s="105"/>
      <c r="N30" s="107"/>
      <c r="O30" s="105"/>
      <c r="P30" s="105"/>
      <c r="Q30" s="105"/>
      <c r="R30" s="105"/>
      <c r="S30" s="111"/>
      <c r="T30" s="110"/>
      <c r="U30" s="105"/>
      <c r="V30" s="105"/>
      <c r="W30" s="105"/>
      <c r="X30" s="105"/>
      <c r="Y30" s="105"/>
      <c r="Z30" s="105"/>
      <c r="AA30" s="105"/>
      <c r="AB30" s="105"/>
    </row>
    <row r="31" spans="1:28" x14ac:dyDescent="0.3">
      <c r="A31" s="106"/>
      <c r="C31" s="106"/>
      <c r="D31" s="106"/>
      <c r="E31" s="106"/>
      <c r="F31" s="106"/>
      <c r="G31" s="105"/>
      <c r="H31" s="106"/>
      <c r="I31" s="105"/>
      <c r="J31" s="105"/>
      <c r="K31" s="105"/>
      <c r="L31" s="105"/>
      <c r="M31" s="105"/>
      <c r="N31" s="105"/>
      <c r="O31" s="105"/>
      <c r="P31" s="105"/>
      <c r="Q31" s="105"/>
      <c r="R31" s="105"/>
      <c r="S31" s="116"/>
      <c r="T31" s="105"/>
      <c r="U31" s="105"/>
      <c r="V31" s="105"/>
      <c r="W31" s="105"/>
      <c r="X31" s="105"/>
      <c r="Y31" s="105"/>
      <c r="Z31" s="105"/>
      <c r="AA31" s="105"/>
      <c r="AB31" s="105"/>
    </row>
    <row r="32" spans="1:28" ht="17.399999999999999" x14ac:dyDescent="0.45">
      <c r="A32" s="106"/>
      <c r="C32" s="106"/>
      <c r="D32" s="106"/>
      <c r="E32" s="106"/>
      <c r="F32" s="136"/>
      <c r="G32" s="136"/>
      <c r="H32" s="106"/>
      <c r="I32" s="136"/>
      <c r="J32" s="136"/>
      <c r="K32" s="136"/>
      <c r="L32" s="136"/>
      <c r="M32" s="136"/>
      <c r="N32" s="108"/>
      <c r="O32" s="105"/>
      <c r="P32" s="105"/>
      <c r="Q32" s="105"/>
      <c r="R32" s="105"/>
      <c r="S32" s="122"/>
      <c r="T32" s="105"/>
      <c r="U32" s="105"/>
      <c r="V32" s="105"/>
      <c r="W32" s="105"/>
      <c r="X32" s="105"/>
      <c r="Y32" s="105"/>
      <c r="Z32" s="105"/>
      <c r="AA32" s="105"/>
      <c r="AB32" s="105"/>
    </row>
    <row r="33" spans="1:23" x14ac:dyDescent="0.3">
      <c r="A33" s="106"/>
      <c r="C33" s="106"/>
      <c r="D33" s="106"/>
      <c r="E33" s="106"/>
      <c r="F33" s="106"/>
      <c r="G33" s="106"/>
      <c r="H33" s="106"/>
      <c r="I33" s="106"/>
      <c r="J33" s="106"/>
      <c r="K33" s="106"/>
      <c r="L33" s="106"/>
      <c r="M33" s="106"/>
      <c r="N33" s="106"/>
      <c r="O33" s="106"/>
      <c r="P33" s="105"/>
      <c r="Q33" s="105"/>
      <c r="R33" s="105"/>
      <c r="S33" s="105"/>
      <c r="T33" s="105"/>
      <c r="U33" s="105"/>
      <c r="V33" s="105"/>
      <c r="W33" s="105"/>
    </row>
    <row r="34" spans="1:23" x14ac:dyDescent="0.3">
      <c r="A34" s="109"/>
      <c r="C34" s="106"/>
      <c r="D34" s="106"/>
      <c r="E34" s="106"/>
      <c r="F34" s="106"/>
      <c r="G34" s="106"/>
      <c r="H34" s="106"/>
      <c r="I34" s="106"/>
      <c r="J34" s="106"/>
      <c r="K34" s="106"/>
      <c r="L34" s="106"/>
      <c r="M34" s="106"/>
      <c r="N34" s="106"/>
      <c r="O34" s="106"/>
      <c r="P34" s="105"/>
      <c r="Q34" s="105"/>
      <c r="R34" s="105"/>
      <c r="S34" s="105"/>
      <c r="T34" s="105"/>
      <c r="U34" s="105"/>
      <c r="V34" s="105"/>
      <c r="W34" s="105"/>
    </row>
    <row r="35" spans="1:23" x14ac:dyDescent="0.3">
      <c r="A35" s="106"/>
      <c r="C35" s="106"/>
      <c r="D35" s="106"/>
      <c r="E35" s="106"/>
      <c r="F35" s="106"/>
      <c r="G35" s="106"/>
      <c r="H35" s="106"/>
      <c r="I35" s="106"/>
      <c r="J35" s="106"/>
      <c r="K35" s="106"/>
      <c r="L35" s="106"/>
      <c r="M35" s="106"/>
      <c r="N35" s="106"/>
      <c r="O35" s="106"/>
      <c r="P35" s="105"/>
      <c r="Q35" s="105"/>
      <c r="R35" s="105"/>
      <c r="S35" s="105"/>
      <c r="T35" s="105"/>
      <c r="U35" s="105"/>
      <c r="V35" s="105"/>
      <c r="W35" s="105"/>
    </row>
    <row r="36" spans="1:23" x14ac:dyDescent="0.3">
      <c r="A36" s="110"/>
      <c r="C36" s="110"/>
      <c r="D36" s="111"/>
      <c r="E36" s="111"/>
      <c r="F36" s="110"/>
      <c r="G36" s="111"/>
      <c r="H36" s="110"/>
      <c r="I36" s="112"/>
      <c r="J36" s="105"/>
      <c r="K36" s="105"/>
      <c r="L36" s="113"/>
      <c r="M36" s="113"/>
      <c r="N36" s="105"/>
      <c r="O36" s="106"/>
      <c r="P36" s="105"/>
      <c r="Q36" s="105"/>
      <c r="R36" s="105"/>
      <c r="S36" s="105"/>
      <c r="T36" s="105"/>
      <c r="U36" s="105"/>
      <c r="V36" s="105"/>
      <c r="W36" s="105"/>
    </row>
    <row r="37" spans="1:23" x14ac:dyDescent="0.3">
      <c r="A37" s="114"/>
      <c r="C37" s="114"/>
      <c r="D37" s="116"/>
      <c r="E37" s="116"/>
      <c r="F37" s="116"/>
      <c r="G37" s="117"/>
      <c r="H37" s="115"/>
      <c r="I37" s="118"/>
      <c r="J37" s="106"/>
      <c r="K37" s="106"/>
      <c r="L37" s="119"/>
      <c r="M37" s="106"/>
      <c r="N37" s="106"/>
      <c r="O37" s="106"/>
      <c r="P37" s="105"/>
      <c r="Q37" s="105"/>
      <c r="R37" s="105"/>
      <c r="S37" s="105"/>
      <c r="T37" s="105"/>
      <c r="U37" s="105"/>
      <c r="V37" s="105"/>
      <c r="W37" s="105"/>
    </row>
    <row r="38" spans="1:23" x14ac:dyDescent="0.3">
      <c r="A38" s="120"/>
      <c r="C38" s="120"/>
      <c r="D38" s="122"/>
      <c r="E38" s="122"/>
      <c r="F38" s="122"/>
      <c r="G38" s="123"/>
      <c r="H38" s="121"/>
      <c r="I38" s="118"/>
      <c r="J38" s="106"/>
      <c r="K38" s="106"/>
      <c r="L38" s="119"/>
      <c r="M38" s="106"/>
      <c r="N38" s="106"/>
      <c r="O38" s="106"/>
      <c r="P38" s="105"/>
    </row>
    <row r="39" spans="1:23" x14ac:dyDescent="0.3">
      <c r="A39" s="114"/>
      <c r="C39" s="114"/>
      <c r="D39" s="116"/>
      <c r="E39" s="116"/>
      <c r="F39" s="116"/>
      <c r="G39" s="117"/>
      <c r="H39" s="115"/>
      <c r="I39" s="118"/>
      <c r="J39" s="106"/>
      <c r="K39" s="106"/>
      <c r="L39" s="119"/>
      <c r="M39" s="106"/>
      <c r="N39" s="106"/>
      <c r="O39" s="106"/>
      <c r="P39" s="105"/>
    </row>
    <row r="40" spans="1:23" x14ac:dyDescent="0.3">
      <c r="A40" s="120"/>
      <c r="C40" s="120"/>
      <c r="D40" s="122"/>
      <c r="E40" s="122"/>
      <c r="F40" s="122"/>
      <c r="G40" s="105"/>
      <c r="H40" s="121"/>
      <c r="I40" s="118"/>
      <c r="J40" s="106"/>
      <c r="K40" s="106"/>
      <c r="L40" s="119"/>
      <c r="M40" s="106"/>
      <c r="N40" s="106"/>
      <c r="O40" s="106"/>
      <c r="P40" s="105"/>
    </row>
    <row r="41" spans="1:23" x14ac:dyDescent="0.3">
      <c r="A41" s="120"/>
      <c r="C41" s="120"/>
      <c r="D41" s="122"/>
      <c r="E41" s="122"/>
      <c r="F41" s="122"/>
      <c r="G41" s="105"/>
      <c r="H41" s="121"/>
      <c r="I41" s="118"/>
      <c r="J41" s="106"/>
      <c r="K41" s="106"/>
      <c r="L41" s="119"/>
      <c r="M41" s="106"/>
      <c r="N41" s="106"/>
      <c r="O41" s="106"/>
      <c r="P41" s="105"/>
    </row>
    <row r="42" spans="1:23" x14ac:dyDescent="0.3">
      <c r="A42" s="114"/>
      <c r="C42" s="114"/>
      <c r="D42" s="116"/>
      <c r="E42" s="116"/>
      <c r="F42" s="116"/>
      <c r="G42" s="117"/>
      <c r="H42" s="115"/>
      <c r="I42" s="118"/>
      <c r="J42" s="106"/>
      <c r="K42" s="106"/>
      <c r="L42" s="106"/>
      <c r="M42" s="106"/>
      <c r="N42" s="106"/>
      <c r="O42" s="106"/>
      <c r="P42" s="105"/>
    </row>
    <row r="43" spans="1:23" x14ac:dyDescent="0.3">
      <c r="A43" s="120"/>
      <c r="C43" s="120"/>
      <c r="D43" s="122"/>
      <c r="E43" s="122"/>
      <c r="F43" s="122"/>
      <c r="G43" s="105"/>
      <c r="H43" s="121"/>
      <c r="I43" s="118"/>
      <c r="J43" s="106"/>
      <c r="K43" s="106"/>
      <c r="L43" s="106"/>
      <c r="M43" s="106"/>
      <c r="N43" s="106"/>
      <c r="O43" s="106"/>
      <c r="P43" s="105"/>
    </row>
    <row r="44" spans="1:23" x14ac:dyDescent="0.3">
      <c r="A44" s="106"/>
      <c r="C44" s="106"/>
      <c r="D44" s="106"/>
      <c r="E44" s="106"/>
      <c r="F44" s="106"/>
      <c r="G44" s="106"/>
      <c r="H44" s="106"/>
      <c r="I44" s="106"/>
      <c r="J44" s="106"/>
      <c r="K44" s="106"/>
      <c r="L44" s="106"/>
      <c r="M44" s="106"/>
      <c r="N44" s="106"/>
      <c r="O44" s="106"/>
      <c r="P44" s="105"/>
    </row>
    <row r="45" spans="1:23" ht="17.399999999999999" x14ac:dyDescent="0.45">
      <c r="A45" s="106"/>
      <c r="C45" s="106"/>
      <c r="D45" s="106"/>
      <c r="E45" s="106"/>
      <c r="F45" s="106"/>
      <c r="G45" s="105"/>
      <c r="H45" s="106"/>
      <c r="I45" s="124"/>
      <c r="J45" s="105"/>
      <c r="K45" s="105"/>
      <c r="L45" s="105"/>
      <c r="M45" s="105"/>
      <c r="N45" s="105"/>
      <c r="O45" s="105"/>
      <c r="P45" s="105"/>
    </row>
    <row r="46" spans="1:23" x14ac:dyDescent="0.3">
      <c r="A46" s="106"/>
      <c r="C46" s="106"/>
      <c r="D46" s="106"/>
      <c r="E46" s="106"/>
      <c r="F46" s="106"/>
      <c r="G46" s="105"/>
      <c r="H46" s="106"/>
      <c r="I46" s="105"/>
      <c r="J46" s="105"/>
      <c r="K46" s="105"/>
      <c r="L46" s="105"/>
      <c r="M46" s="105"/>
      <c r="N46" s="105"/>
      <c r="O46" s="125"/>
      <c r="P46" s="105"/>
    </row>
    <row r="47" spans="1:23" x14ac:dyDescent="0.3">
      <c r="A47" s="106"/>
      <c r="C47" s="106"/>
      <c r="D47" s="106"/>
      <c r="E47" s="106"/>
      <c r="F47" s="106"/>
      <c r="G47" s="105"/>
      <c r="H47" s="106"/>
      <c r="I47" s="105"/>
      <c r="J47" s="105"/>
      <c r="K47" s="105"/>
      <c r="L47" s="105"/>
      <c r="M47" s="105"/>
      <c r="N47" s="105"/>
      <c r="O47" s="105"/>
      <c r="P47" s="105"/>
    </row>
    <row r="48" spans="1:23" x14ac:dyDescent="0.3">
      <c r="A48" s="106"/>
      <c r="C48" s="106"/>
      <c r="D48" s="106"/>
      <c r="E48" s="106"/>
      <c r="F48" s="106"/>
      <c r="G48" s="105"/>
      <c r="H48" s="106"/>
      <c r="I48" s="105"/>
      <c r="J48" s="105"/>
      <c r="K48" s="105"/>
      <c r="L48" s="105"/>
      <c r="M48" s="105"/>
      <c r="N48" s="105"/>
      <c r="O48" s="105"/>
      <c r="P48" s="105"/>
    </row>
    <row r="49" spans="1:16" x14ac:dyDescent="0.3">
      <c r="A49" s="106"/>
      <c r="C49" s="106"/>
      <c r="D49" s="106"/>
      <c r="E49" s="106"/>
      <c r="F49" s="106"/>
      <c r="G49" s="105"/>
      <c r="H49" s="106"/>
      <c r="I49" s="105"/>
      <c r="J49" s="105"/>
      <c r="K49" s="105"/>
      <c r="L49" s="105"/>
      <c r="M49" s="105"/>
      <c r="N49" s="105"/>
      <c r="O49" s="105"/>
      <c r="P49" s="105"/>
    </row>
    <row r="50" spans="1:16" x14ac:dyDescent="0.3">
      <c r="A50" s="106"/>
      <c r="C50" s="106"/>
      <c r="D50" s="106"/>
      <c r="E50" s="106"/>
      <c r="F50" s="106"/>
      <c r="G50" s="105"/>
      <c r="H50" s="106"/>
      <c r="I50" s="105"/>
      <c r="J50" s="105"/>
      <c r="K50" s="105"/>
      <c r="L50" s="105"/>
      <c r="M50" s="105"/>
      <c r="N50" s="105"/>
      <c r="O50" s="105"/>
      <c r="P50" s="105"/>
    </row>
    <row r="51" spans="1:16" x14ac:dyDescent="0.3">
      <c r="A51" s="106"/>
      <c r="C51" s="106"/>
      <c r="D51" s="106"/>
      <c r="E51" s="106"/>
      <c r="F51" s="106"/>
      <c r="G51" s="105"/>
      <c r="H51" s="106"/>
      <c r="I51" s="105"/>
      <c r="J51" s="105"/>
      <c r="K51" s="105"/>
      <c r="L51" s="105"/>
      <c r="M51" s="105"/>
      <c r="N51" s="105"/>
      <c r="O51" s="105"/>
      <c r="P51" s="105"/>
    </row>
    <row r="52" spans="1:16" x14ac:dyDescent="0.3">
      <c r="A52" s="106"/>
      <c r="C52" s="106"/>
      <c r="D52" s="106"/>
      <c r="E52" s="106"/>
      <c r="F52" s="137"/>
      <c r="G52" s="137"/>
      <c r="H52" s="106"/>
      <c r="I52" s="105"/>
      <c r="J52" s="105"/>
      <c r="K52" s="105"/>
      <c r="L52" s="105"/>
      <c r="M52" s="105"/>
      <c r="N52" s="105"/>
      <c r="O52" s="105"/>
      <c r="P52" s="105"/>
    </row>
    <row r="53" spans="1:16" x14ac:dyDescent="0.3">
      <c r="A53" s="106"/>
      <c r="C53" s="106"/>
      <c r="D53" s="106"/>
      <c r="E53" s="106"/>
      <c r="F53" s="126"/>
      <c r="G53" s="127"/>
      <c r="H53" s="106"/>
      <c r="I53" s="105"/>
      <c r="J53" s="105"/>
      <c r="K53" s="105"/>
      <c r="L53" s="105"/>
      <c r="M53" s="105"/>
      <c r="N53" s="105"/>
      <c r="O53" s="105"/>
      <c r="P53" s="105"/>
    </row>
    <row r="54" spans="1:16" x14ac:dyDescent="0.3">
      <c r="A54" s="106"/>
      <c r="C54" s="106"/>
      <c r="D54" s="106"/>
      <c r="E54" s="106"/>
      <c r="F54" s="128"/>
      <c r="G54" s="129"/>
      <c r="H54" s="106"/>
      <c r="I54" s="105"/>
      <c r="J54" s="105"/>
      <c r="K54" s="105"/>
      <c r="L54" s="105"/>
      <c r="M54" s="105"/>
      <c r="N54" s="105"/>
      <c r="O54" s="105"/>
      <c r="P54" s="105"/>
    </row>
    <row r="55" spans="1:16" x14ac:dyDescent="0.3">
      <c r="A55" s="106"/>
      <c r="C55" s="106"/>
      <c r="D55" s="106"/>
      <c r="E55" s="106"/>
      <c r="F55" s="130"/>
      <c r="G55" s="129"/>
      <c r="H55" s="106"/>
      <c r="I55" s="105"/>
      <c r="J55" s="105"/>
      <c r="K55" s="105"/>
      <c r="L55" s="105"/>
      <c r="M55" s="105"/>
      <c r="N55" s="105"/>
      <c r="O55" s="105"/>
      <c r="P55" s="105"/>
    </row>
    <row r="56" spans="1:16" x14ac:dyDescent="0.3">
      <c r="A56" s="106"/>
      <c r="C56" s="106"/>
      <c r="D56" s="106"/>
      <c r="E56" s="106"/>
      <c r="F56" s="128"/>
      <c r="G56" s="129"/>
      <c r="H56" s="106"/>
      <c r="I56" s="105"/>
      <c r="J56" s="105"/>
      <c r="K56" s="105"/>
      <c r="L56" s="105"/>
      <c r="M56" s="105"/>
      <c r="N56" s="105"/>
      <c r="O56" s="105"/>
      <c r="P56" s="105"/>
    </row>
    <row r="57" spans="1:16" x14ac:dyDescent="0.3">
      <c r="A57" s="106"/>
      <c r="C57" s="106"/>
      <c r="D57" s="106"/>
      <c r="E57" s="106"/>
      <c r="F57" s="130"/>
      <c r="G57" s="129"/>
      <c r="H57" s="106"/>
      <c r="I57" s="105"/>
      <c r="J57" s="105"/>
      <c r="K57" s="105"/>
      <c r="L57" s="105"/>
      <c r="M57" s="105"/>
      <c r="N57" s="105"/>
      <c r="O57" s="105"/>
      <c r="P57" s="105"/>
    </row>
    <row r="58" spans="1:16" x14ac:dyDescent="0.3">
      <c r="A58" s="106"/>
      <c r="C58" s="106"/>
      <c r="D58" s="106"/>
      <c r="E58" s="106"/>
      <c r="F58" s="128"/>
      <c r="G58" s="129"/>
      <c r="H58" s="106"/>
      <c r="I58" s="105"/>
      <c r="J58" s="105"/>
      <c r="K58" s="105"/>
      <c r="L58" s="105"/>
      <c r="M58" s="105"/>
      <c r="N58" s="105"/>
      <c r="O58" s="105"/>
      <c r="P58" s="105"/>
    </row>
    <row r="59" spans="1:16" x14ac:dyDescent="0.3">
      <c r="A59" s="106"/>
      <c r="C59" s="106"/>
      <c r="D59" s="106"/>
      <c r="E59" s="106"/>
      <c r="F59" s="130"/>
      <c r="G59" s="129"/>
      <c r="H59" s="106"/>
      <c r="I59" s="105"/>
      <c r="J59" s="105"/>
      <c r="K59" s="105"/>
      <c r="L59" s="105"/>
      <c r="M59" s="105"/>
      <c r="N59" s="105"/>
      <c r="O59" s="105"/>
      <c r="P59" s="105"/>
    </row>
    <row r="60" spans="1:16" x14ac:dyDescent="0.3">
      <c r="A60" s="106"/>
      <c r="C60" s="106"/>
      <c r="D60" s="106"/>
      <c r="E60" s="106"/>
      <c r="F60" s="128"/>
      <c r="G60" s="129"/>
      <c r="H60" s="106"/>
      <c r="I60" s="105"/>
      <c r="J60" s="105"/>
      <c r="K60" s="105"/>
      <c r="L60" s="105"/>
      <c r="M60" s="105"/>
      <c r="N60" s="105"/>
      <c r="O60" s="105"/>
      <c r="P60" s="105"/>
    </row>
    <row r="61" spans="1:16" x14ac:dyDescent="0.3">
      <c r="A61" s="106"/>
      <c r="C61" s="106"/>
      <c r="D61" s="106"/>
      <c r="E61" s="106"/>
      <c r="F61" s="106"/>
      <c r="G61" s="105"/>
      <c r="H61" s="106"/>
      <c r="I61" s="105"/>
      <c r="J61" s="105"/>
      <c r="K61" s="105"/>
      <c r="L61" s="105"/>
      <c r="M61" s="105"/>
      <c r="N61" s="105"/>
      <c r="O61" s="105"/>
      <c r="P61" s="105"/>
    </row>
  </sheetData>
  <mergeCells count="2">
    <mergeCell ref="S1:T1"/>
    <mergeCell ref="R15:T15"/>
  </mergeCells>
  <pageMargins left="0.7" right="0.7" top="0.75" bottom="0.75" header="0.3" footer="0.3"/>
  <pageSetup paperSize="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0"/>
  <sheetViews>
    <sheetView rightToLeft="1" topLeftCell="C1" zoomScaleNormal="100" workbookViewId="0">
      <selection activeCell="N2" sqref="N2"/>
    </sheetView>
  </sheetViews>
  <sheetFormatPr defaultRowHeight="13.8" x14ac:dyDescent="0.25"/>
  <cols>
    <col min="1" max="2" width="0" hidden="1" customWidth="1"/>
    <col min="4" max="4" width="9.5" bestFit="1" customWidth="1"/>
    <col min="8" max="8" width="18.3984375" customWidth="1"/>
    <col min="9" max="9" width="17" customWidth="1"/>
    <col min="11" max="11" width="9.8984375" bestFit="1" customWidth="1"/>
    <col min="13" max="14" width="9.8984375" bestFit="1" customWidth="1"/>
    <col min="15" max="15" width="14.796875" bestFit="1" customWidth="1"/>
    <col min="18" max="18" width="14.796875" bestFit="1" customWidth="1"/>
    <col min="20" max="20" width="9.8984375" bestFit="1" customWidth="1"/>
    <col min="22" max="22" width="28.59765625" bestFit="1" customWidth="1"/>
    <col min="23" max="23" width="8.59765625" bestFit="1" customWidth="1"/>
  </cols>
  <sheetData>
    <row r="1" spans="1:25" ht="41.4" x14ac:dyDescent="0.3">
      <c r="A1" s="1" t="s">
        <v>0</v>
      </c>
      <c r="B1" s="1" t="s">
        <v>1</v>
      </c>
      <c r="C1" s="1" t="s">
        <v>2</v>
      </c>
      <c r="D1" s="270" t="s">
        <v>3</v>
      </c>
      <c r="E1" s="270" t="s">
        <v>4</v>
      </c>
      <c r="F1" s="1" t="s">
        <v>5</v>
      </c>
      <c r="G1" s="1" t="s">
        <v>6</v>
      </c>
      <c r="H1" s="1" t="s">
        <v>7</v>
      </c>
      <c r="K1" s="273" t="s">
        <v>379</v>
      </c>
      <c r="N1" s="271" t="s">
        <v>34</v>
      </c>
    </row>
    <row r="2" spans="1:25" ht="14.4" x14ac:dyDescent="0.3">
      <c r="A2" s="2">
        <v>1855</v>
      </c>
      <c r="B2" s="2" t="s">
        <v>8</v>
      </c>
      <c r="C2" s="2" t="s">
        <v>9</v>
      </c>
      <c r="D2" s="3">
        <v>43723</v>
      </c>
      <c r="E2" s="4">
        <v>2500</v>
      </c>
      <c r="F2" s="2">
        <v>10</v>
      </c>
      <c r="G2" s="5">
        <v>8.9999999999999993E-3</v>
      </c>
      <c r="H2" s="6">
        <v>16761.877886011072</v>
      </c>
      <c r="I2" s="7"/>
      <c r="K2" s="7" t="str">
        <f>TEXT(D2,"mmmm")</f>
        <v>ספטמבר</v>
      </c>
      <c r="N2" s="7">
        <f>IF(AND(C2=$Q$19,E2&lt;$S$19),DATE(YEAR(D2)+$U$19,MONTH(D2)+$V$19,$W$19),IF(OR(F2=$Q$24,F2=$S$24),DATE($U$24,$V$24,DAY(D2)),DATE(YEAR(D2),MONTH(D2)+$S$27,DAY(D2)+$U$27)))</f>
        <v>44469</v>
      </c>
    </row>
    <row r="3" spans="1:25" ht="14.4" x14ac:dyDescent="0.3">
      <c r="A3" s="2">
        <v>1856</v>
      </c>
      <c r="B3" s="2" t="s">
        <v>10</v>
      </c>
      <c r="C3" s="2" t="s">
        <v>11</v>
      </c>
      <c r="D3" s="3">
        <v>42075</v>
      </c>
      <c r="E3" s="4">
        <v>146726</v>
      </c>
      <c r="F3" s="2">
        <v>13</v>
      </c>
      <c r="G3" s="5">
        <v>2.8999999999999998E-3</v>
      </c>
      <c r="H3" s="6">
        <v>214094.11260178176</v>
      </c>
      <c r="I3" s="7"/>
      <c r="K3" s="7" t="str">
        <f t="shared" ref="K3:K26" si="0">TEXT(D3,"mmmm")</f>
        <v>מרץ</v>
      </c>
      <c r="N3" s="7">
        <f t="shared" ref="N3:N27" si="1">IF(AND(C3=$Q$19,E3&lt;$S$19),DATE(YEAR(D3)+$U$19,MONTH(D3)+$V$19,$W$19),IF(OR(F3=$Q$24,F3=$S$24),DATE($U$24,$V$24,DAY(D3)),DATE(YEAR(D3),MONTH(D3)+$S$27,DAY(D3)+$U$27)))</f>
        <v>42332</v>
      </c>
    </row>
    <row r="4" spans="1:25" ht="14.4" x14ac:dyDescent="0.3">
      <c r="A4" s="2">
        <v>1857</v>
      </c>
      <c r="B4" s="2" t="s">
        <v>12</v>
      </c>
      <c r="C4" s="2" t="s">
        <v>9</v>
      </c>
      <c r="D4" s="3">
        <v>43007</v>
      </c>
      <c r="E4" s="4">
        <v>253094</v>
      </c>
      <c r="F4" s="2">
        <v>10</v>
      </c>
      <c r="G4" s="5">
        <v>6.0000000000000001E-3</v>
      </c>
      <c r="H4" s="6">
        <v>307637.33883750002</v>
      </c>
      <c r="I4" s="7"/>
      <c r="K4" s="7" t="str">
        <f t="shared" si="0"/>
        <v>ספטמבר</v>
      </c>
      <c r="N4" s="7">
        <f t="shared" si="1"/>
        <v>43261</v>
      </c>
      <c r="V4" s="162"/>
      <c r="W4" s="162"/>
      <c r="X4" s="162"/>
      <c r="Y4" s="162"/>
    </row>
    <row r="5" spans="1:25" ht="14.4" x14ac:dyDescent="0.3">
      <c r="A5" s="2">
        <v>1858</v>
      </c>
      <c r="B5" s="2" t="s">
        <v>13</v>
      </c>
      <c r="C5" s="2" t="s">
        <v>9</v>
      </c>
      <c r="D5" s="3">
        <v>42367</v>
      </c>
      <c r="E5" s="4">
        <v>70131</v>
      </c>
      <c r="F5" s="2">
        <v>14</v>
      </c>
      <c r="G5" s="5">
        <v>1E-3</v>
      </c>
      <c r="H5" s="6">
        <v>332458.09982047207</v>
      </c>
      <c r="I5" s="7"/>
      <c r="K5" s="7" t="str">
        <f t="shared" si="0"/>
        <v>דצמבר</v>
      </c>
      <c r="N5" s="7">
        <f t="shared" si="1"/>
        <v>44649</v>
      </c>
      <c r="V5" s="162"/>
      <c r="W5" s="162"/>
      <c r="X5" s="162"/>
      <c r="Y5" s="162"/>
    </row>
    <row r="6" spans="1:25" ht="14.4" x14ac:dyDescent="0.3">
      <c r="A6" s="2">
        <v>1859</v>
      </c>
      <c r="B6" s="2" t="s">
        <v>14</v>
      </c>
      <c r="C6" s="2" t="s">
        <v>9</v>
      </c>
      <c r="D6" s="3">
        <v>43866</v>
      </c>
      <c r="E6" s="4">
        <v>63372</v>
      </c>
      <c r="F6" s="2">
        <v>15</v>
      </c>
      <c r="G6" s="5">
        <v>1E-3</v>
      </c>
      <c r="H6" s="6">
        <v>1229261.9753939065</v>
      </c>
      <c r="I6" s="7"/>
      <c r="K6" s="7" t="str">
        <f t="shared" si="0"/>
        <v>פברואר</v>
      </c>
      <c r="N6" s="7">
        <f t="shared" si="1"/>
        <v>44625</v>
      </c>
      <c r="V6" s="162"/>
      <c r="W6" s="162"/>
      <c r="X6" s="162"/>
      <c r="Y6" s="162"/>
    </row>
    <row r="7" spans="1:25" ht="14.4" x14ac:dyDescent="0.3">
      <c r="A7" s="2">
        <v>1860</v>
      </c>
      <c r="B7" s="2" t="s">
        <v>13</v>
      </c>
      <c r="C7" s="2" t="s">
        <v>11</v>
      </c>
      <c r="D7" s="3">
        <v>43604</v>
      </c>
      <c r="E7" s="4">
        <v>72483</v>
      </c>
      <c r="F7" s="2">
        <v>15</v>
      </c>
      <c r="G7" s="5">
        <v>1E-3</v>
      </c>
      <c r="H7" s="6">
        <v>1877660.4186721272</v>
      </c>
      <c r="I7" s="7"/>
      <c r="K7" s="7" t="str">
        <f t="shared" si="0"/>
        <v>מאי</v>
      </c>
      <c r="N7" s="7">
        <f t="shared" si="1"/>
        <v>44639</v>
      </c>
      <c r="V7" s="162"/>
      <c r="W7" s="162"/>
      <c r="X7" s="162"/>
      <c r="Y7" s="162"/>
    </row>
    <row r="8" spans="1:25" ht="14.4" x14ac:dyDescent="0.3">
      <c r="A8" s="2">
        <v>1861</v>
      </c>
      <c r="B8" s="2" t="s">
        <v>15</v>
      </c>
      <c r="C8" s="2" t="s">
        <v>11</v>
      </c>
      <c r="D8" s="3">
        <v>42562</v>
      </c>
      <c r="E8" s="4">
        <v>108877</v>
      </c>
      <c r="F8" s="2">
        <v>13</v>
      </c>
      <c r="G8" s="5">
        <v>2.8999999999999998E-3</v>
      </c>
      <c r="H8" s="6">
        <v>986671.12314671697</v>
      </c>
      <c r="I8" s="7"/>
      <c r="K8" s="7" t="str">
        <f t="shared" si="0"/>
        <v>יולי</v>
      </c>
      <c r="N8" s="7">
        <f t="shared" si="1"/>
        <v>42817</v>
      </c>
      <c r="V8" s="162"/>
      <c r="W8" s="162"/>
      <c r="X8" s="162"/>
      <c r="Y8" s="162"/>
    </row>
    <row r="9" spans="1:25" ht="14.4" x14ac:dyDescent="0.3">
      <c r="A9" s="2">
        <v>1862</v>
      </c>
      <c r="B9" s="2" t="s">
        <v>16</v>
      </c>
      <c r="C9" s="2" t="s">
        <v>11</v>
      </c>
      <c r="D9" s="3">
        <v>44321</v>
      </c>
      <c r="E9" s="4">
        <v>96681</v>
      </c>
      <c r="F9" s="2">
        <v>10</v>
      </c>
      <c r="G9" s="5">
        <v>7.0000000000000001E-3</v>
      </c>
      <c r="H9" s="6">
        <v>191421.76696540037</v>
      </c>
      <c r="I9" s="7"/>
      <c r="K9" s="7" t="str">
        <f t="shared" si="0"/>
        <v>מאי</v>
      </c>
      <c r="N9" s="7">
        <f t="shared" si="1"/>
        <v>44578</v>
      </c>
      <c r="V9" s="162"/>
      <c r="W9" s="162"/>
      <c r="X9" s="162"/>
      <c r="Y9" s="162"/>
    </row>
    <row r="10" spans="1:25" ht="14.4" x14ac:dyDescent="0.3">
      <c r="A10" s="2">
        <v>1863</v>
      </c>
      <c r="B10" s="2" t="s">
        <v>17</v>
      </c>
      <c r="C10" s="2" t="s">
        <v>11</v>
      </c>
      <c r="D10" s="3">
        <v>43400</v>
      </c>
      <c r="E10" s="4">
        <v>66590</v>
      </c>
      <c r="F10" s="2">
        <v>15</v>
      </c>
      <c r="G10" s="5">
        <v>1E-3</v>
      </c>
      <c r="H10" s="6">
        <v>377756.68354481296</v>
      </c>
      <c r="I10" s="7"/>
      <c r="K10" s="7" t="str">
        <f t="shared" si="0"/>
        <v>אוקטובר</v>
      </c>
      <c r="N10" s="7">
        <f t="shared" si="1"/>
        <v>44647</v>
      </c>
      <c r="V10" s="162"/>
      <c r="W10" s="162"/>
      <c r="X10" s="162"/>
      <c r="Y10" s="162"/>
    </row>
    <row r="11" spans="1:25" ht="14.4" x14ac:dyDescent="0.3">
      <c r="A11" s="2">
        <v>1864</v>
      </c>
      <c r="B11" s="2" t="s">
        <v>18</v>
      </c>
      <c r="C11" s="2" t="s">
        <v>19</v>
      </c>
      <c r="D11" s="3">
        <v>43977</v>
      </c>
      <c r="E11" s="4">
        <v>224708</v>
      </c>
      <c r="F11" s="2">
        <v>10</v>
      </c>
      <c r="G11" s="5">
        <v>6.0000000000000001E-3</v>
      </c>
      <c r="H11" s="6">
        <v>3453180.5195543682</v>
      </c>
      <c r="I11" s="7"/>
      <c r="K11" s="7" t="str">
        <f t="shared" si="0"/>
        <v>מאי</v>
      </c>
      <c r="N11" s="7">
        <f t="shared" si="1"/>
        <v>44234</v>
      </c>
      <c r="V11" s="162"/>
      <c r="W11" s="162"/>
      <c r="X11" s="162"/>
      <c r="Y11" s="162"/>
    </row>
    <row r="12" spans="1:25" ht="14.4" x14ac:dyDescent="0.3">
      <c r="A12" s="2">
        <v>1865</v>
      </c>
      <c r="B12" s="2" t="s">
        <v>20</v>
      </c>
      <c r="C12" s="2" t="s">
        <v>9</v>
      </c>
      <c r="D12" s="3">
        <v>44029</v>
      </c>
      <c r="E12" s="4">
        <v>49492</v>
      </c>
      <c r="F12" s="2">
        <v>14</v>
      </c>
      <c r="G12" s="5">
        <v>1.1000000000000001E-3</v>
      </c>
      <c r="H12" s="6">
        <v>2044762.0534205888</v>
      </c>
      <c r="I12" s="7"/>
      <c r="K12" s="7" t="str">
        <f t="shared" si="0"/>
        <v>יולי</v>
      </c>
      <c r="N12" s="7">
        <f t="shared" si="1"/>
        <v>44773</v>
      </c>
    </row>
    <row r="13" spans="1:25" ht="14.4" x14ac:dyDescent="0.3">
      <c r="A13" s="2">
        <v>1866</v>
      </c>
      <c r="B13" s="2" t="s">
        <v>21</v>
      </c>
      <c r="C13" s="2" t="s">
        <v>9</v>
      </c>
      <c r="D13" s="3">
        <v>40661</v>
      </c>
      <c r="E13" s="4">
        <v>76982</v>
      </c>
      <c r="F13" s="2">
        <v>13</v>
      </c>
      <c r="G13" s="5">
        <v>3.8999999999999998E-3</v>
      </c>
      <c r="H13" s="6">
        <v>2617985.4305046364</v>
      </c>
      <c r="I13" s="7"/>
      <c r="K13" s="7" t="str">
        <f t="shared" si="0"/>
        <v>אפריל</v>
      </c>
      <c r="N13" s="7">
        <f t="shared" si="1"/>
        <v>40917</v>
      </c>
    </row>
    <row r="14" spans="1:25" ht="14.4" x14ac:dyDescent="0.3">
      <c r="A14" s="2">
        <v>1867</v>
      </c>
      <c r="B14" s="2" t="s">
        <v>22</v>
      </c>
      <c r="C14" s="2" t="s">
        <v>19</v>
      </c>
      <c r="D14" s="3">
        <v>40434</v>
      </c>
      <c r="E14" s="4">
        <v>184883</v>
      </c>
      <c r="F14" s="2">
        <v>10</v>
      </c>
      <c r="G14" s="5">
        <v>6.0000000000000001E-3</v>
      </c>
      <c r="H14" s="6">
        <v>2226133.6383189736</v>
      </c>
      <c r="I14" s="7"/>
      <c r="K14" s="7" t="str">
        <f t="shared" si="0"/>
        <v>ספטמבר</v>
      </c>
      <c r="N14" s="7">
        <f t="shared" si="1"/>
        <v>40688</v>
      </c>
    </row>
    <row r="15" spans="1:25" ht="14.4" x14ac:dyDescent="0.3">
      <c r="A15" s="2">
        <v>1868</v>
      </c>
      <c r="B15" s="2" t="s">
        <v>23</v>
      </c>
      <c r="C15" s="2" t="s">
        <v>19</v>
      </c>
      <c r="D15" s="3">
        <v>41924</v>
      </c>
      <c r="E15" s="4">
        <v>8780</v>
      </c>
      <c r="F15" s="2">
        <v>10</v>
      </c>
      <c r="G15" s="5">
        <v>8.9999999999999993E-3</v>
      </c>
      <c r="H15" s="6">
        <v>122381.75185310727</v>
      </c>
      <c r="I15" s="7"/>
      <c r="K15" s="7" t="str">
        <f t="shared" si="0"/>
        <v>אוקטובר</v>
      </c>
      <c r="N15" s="7">
        <f t="shared" si="1"/>
        <v>42179</v>
      </c>
    </row>
    <row r="16" spans="1:25" ht="15" thickBot="1" x14ac:dyDescent="0.35">
      <c r="A16" s="2">
        <v>1869</v>
      </c>
      <c r="B16" s="2" t="s">
        <v>24</v>
      </c>
      <c r="C16" s="2" t="s">
        <v>9</v>
      </c>
      <c r="D16" s="3">
        <v>41231</v>
      </c>
      <c r="E16" s="4">
        <v>46900</v>
      </c>
      <c r="F16" s="2">
        <v>14</v>
      </c>
      <c r="G16" s="5">
        <v>1.1000000000000001E-3</v>
      </c>
      <c r="H16" s="6">
        <v>80582.931834117058</v>
      </c>
      <c r="I16" s="7"/>
      <c r="K16" s="7" t="str">
        <f t="shared" si="0"/>
        <v>נובמבר</v>
      </c>
      <c r="N16" s="7">
        <f t="shared" si="1"/>
        <v>41973</v>
      </c>
    </row>
    <row r="17" spans="1:26" ht="21" thickBot="1" x14ac:dyDescent="0.4">
      <c r="A17" s="2">
        <v>1870</v>
      </c>
      <c r="B17" s="2" t="s">
        <v>25</v>
      </c>
      <c r="C17" s="2" t="s">
        <v>9</v>
      </c>
      <c r="D17" s="3">
        <v>41419</v>
      </c>
      <c r="E17" s="4">
        <v>162174</v>
      </c>
      <c r="F17" s="2">
        <v>14</v>
      </c>
      <c r="G17" s="5">
        <v>8.0000000000000004E-4</v>
      </c>
      <c r="H17" s="6">
        <v>1078268.712803452</v>
      </c>
      <c r="I17" s="7"/>
      <c r="K17" s="7" t="str">
        <f t="shared" si="0"/>
        <v>מאי</v>
      </c>
      <c r="M17" s="228"/>
      <c r="N17" s="7">
        <f t="shared" si="1"/>
        <v>44645</v>
      </c>
      <c r="O17" s="229"/>
      <c r="P17" s="229"/>
      <c r="Q17" s="230"/>
      <c r="R17" s="230"/>
      <c r="S17" s="231" t="s">
        <v>233</v>
      </c>
      <c r="T17" s="232"/>
      <c r="U17" s="232"/>
      <c r="V17" s="232"/>
      <c r="W17" s="233"/>
      <c r="X17" s="234"/>
      <c r="Y17" s="234"/>
      <c r="Z17" s="235"/>
    </row>
    <row r="18" spans="1:26" ht="20.399999999999999" x14ac:dyDescent="0.35">
      <c r="A18" s="2">
        <v>1871</v>
      </c>
      <c r="B18" s="2" t="s">
        <v>20</v>
      </c>
      <c r="C18" s="2" t="s">
        <v>9</v>
      </c>
      <c r="D18" s="3">
        <v>41617</v>
      </c>
      <c r="E18" s="4">
        <v>10321</v>
      </c>
      <c r="F18" s="2">
        <v>14</v>
      </c>
      <c r="G18" s="5">
        <v>1.1000000000000001E-3</v>
      </c>
      <c r="H18" s="6">
        <v>372444.86881914415</v>
      </c>
      <c r="I18" s="7"/>
      <c r="K18" s="7" t="str">
        <f t="shared" si="0"/>
        <v>דצמבר</v>
      </c>
      <c r="M18" s="163"/>
      <c r="N18" s="7">
        <f t="shared" si="1"/>
        <v>42369</v>
      </c>
      <c r="O18" s="163"/>
      <c r="P18" s="163"/>
      <c r="Q18" s="163"/>
      <c r="R18" s="163"/>
      <c r="S18" s="163"/>
      <c r="T18" s="163"/>
      <c r="U18" s="163"/>
      <c r="V18" s="205"/>
      <c r="W18" s="205"/>
      <c r="X18" s="164"/>
      <c r="Y18" s="164"/>
      <c r="Z18" s="205"/>
    </row>
    <row r="19" spans="1:26" ht="20.399999999999999" x14ac:dyDescent="0.35">
      <c r="A19" s="2">
        <v>1872</v>
      </c>
      <c r="B19" s="2" t="s">
        <v>26</v>
      </c>
      <c r="C19" s="2" t="s">
        <v>9</v>
      </c>
      <c r="D19" s="3">
        <v>43638</v>
      </c>
      <c r="E19" s="4">
        <v>56091</v>
      </c>
      <c r="F19" s="2">
        <v>15</v>
      </c>
      <c r="G19" s="5">
        <v>1E-3</v>
      </c>
      <c r="H19" s="6">
        <v>1453028.3037917621</v>
      </c>
      <c r="I19" s="7"/>
      <c r="K19" s="7" t="str">
        <f t="shared" si="0"/>
        <v>יוני</v>
      </c>
      <c r="M19" s="164"/>
      <c r="N19" s="7">
        <f t="shared" si="1"/>
        <v>44642</v>
      </c>
      <c r="O19" s="203"/>
      <c r="P19" s="203"/>
      <c r="Q19" s="203" t="s">
        <v>9</v>
      </c>
      <c r="R19" s="203" t="s">
        <v>375</v>
      </c>
      <c r="S19" s="203">
        <v>55000</v>
      </c>
      <c r="T19" s="203"/>
      <c r="U19" s="203">
        <v>2</v>
      </c>
      <c r="V19" s="205">
        <v>1</v>
      </c>
      <c r="W19" s="164">
        <v>0</v>
      </c>
      <c r="X19" s="164"/>
      <c r="Y19" s="164"/>
      <c r="Z19" s="164"/>
    </row>
    <row r="20" spans="1:26" ht="14.4" x14ac:dyDescent="0.3">
      <c r="A20" s="2">
        <v>1873</v>
      </c>
      <c r="B20" s="2" t="s">
        <v>27</v>
      </c>
      <c r="C20" s="2" t="s">
        <v>11</v>
      </c>
      <c r="D20" s="3">
        <v>43291</v>
      </c>
      <c r="E20" s="4">
        <v>12866</v>
      </c>
      <c r="F20" s="2">
        <v>10</v>
      </c>
      <c r="G20" s="5">
        <v>8.0000000000000002E-3</v>
      </c>
      <c r="H20" s="6">
        <v>133822.73527755728</v>
      </c>
      <c r="I20" s="7"/>
      <c r="K20" s="7" t="str">
        <f t="shared" si="0"/>
        <v>יולי</v>
      </c>
      <c r="N20" s="7">
        <f t="shared" si="1"/>
        <v>43546</v>
      </c>
    </row>
    <row r="21" spans="1:26" ht="15" thickBot="1" x14ac:dyDescent="0.35">
      <c r="A21" s="2">
        <v>1874</v>
      </c>
      <c r="B21" s="2" t="s">
        <v>28</v>
      </c>
      <c r="C21" s="2" t="s">
        <v>11</v>
      </c>
      <c r="D21" s="3">
        <v>43282</v>
      </c>
      <c r="E21" s="4">
        <v>71270</v>
      </c>
      <c r="F21" s="2">
        <v>13</v>
      </c>
      <c r="G21" s="5">
        <v>3.8999999999999998E-3</v>
      </c>
      <c r="H21" s="6">
        <v>142479.52031448073</v>
      </c>
      <c r="I21" s="7"/>
      <c r="K21" s="7" t="str">
        <f t="shared" si="0"/>
        <v>יולי</v>
      </c>
      <c r="N21" s="7">
        <f t="shared" si="1"/>
        <v>43537</v>
      </c>
    </row>
    <row r="22" spans="1:26" ht="21" thickBot="1" x14ac:dyDescent="0.35">
      <c r="A22" s="2">
        <v>1875</v>
      </c>
      <c r="B22" s="2" t="s">
        <v>29</v>
      </c>
      <c r="C22" s="2" t="s">
        <v>11</v>
      </c>
      <c r="D22" s="3">
        <v>43497</v>
      </c>
      <c r="E22" s="4">
        <v>10129</v>
      </c>
      <c r="F22" s="2">
        <v>14</v>
      </c>
      <c r="G22" s="5">
        <v>1.1000000000000001E-3</v>
      </c>
      <c r="H22" s="6">
        <v>22812.44860458418</v>
      </c>
      <c r="I22" s="7"/>
      <c r="K22" s="7" t="str">
        <f t="shared" si="0"/>
        <v>פברואר</v>
      </c>
      <c r="M22" s="345" t="s">
        <v>356</v>
      </c>
      <c r="N22" s="7">
        <f t="shared" si="1"/>
        <v>44621</v>
      </c>
      <c r="O22" s="346"/>
      <c r="P22" s="346"/>
      <c r="Q22" s="346"/>
      <c r="R22" s="346"/>
      <c r="S22" s="346"/>
      <c r="T22" s="346"/>
      <c r="U22" s="346"/>
      <c r="V22" s="346"/>
      <c r="W22" s="346"/>
      <c r="X22" s="346"/>
      <c r="Y22" s="346"/>
      <c r="Z22" s="347"/>
    </row>
    <row r="23" spans="1:26" ht="20.399999999999999" x14ac:dyDescent="0.35">
      <c r="A23" s="2">
        <v>1876</v>
      </c>
      <c r="B23" s="2" t="s">
        <v>30</v>
      </c>
      <c r="C23" s="2" t="s">
        <v>19</v>
      </c>
      <c r="D23" s="3">
        <v>42752</v>
      </c>
      <c r="E23" s="4">
        <v>143689</v>
      </c>
      <c r="F23" s="2">
        <v>13</v>
      </c>
      <c r="G23" s="5">
        <v>2.8999999999999998E-3</v>
      </c>
      <c r="H23" s="6">
        <v>1900016.8003544933</v>
      </c>
      <c r="I23" s="7"/>
      <c r="K23" s="7" t="str">
        <f t="shared" si="0"/>
        <v>ינואר</v>
      </c>
      <c r="M23" s="165"/>
      <c r="N23" s="7">
        <f t="shared" si="1"/>
        <v>43007</v>
      </c>
      <c r="O23" s="165"/>
      <c r="P23" s="165"/>
      <c r="Q23" s="165"/>
      <c r="R23" s="165"/>
      <c r="S23" s="165"/>
      <c r="T23" s="165"/>
      <c r="U23" s="165"/>
      <c r="V23" s="206"/>
      <c r="W23" s="165"/>
      <c r="X23" s="165"/>
      <c r="Y23" s="165"/>
      <c r="Z23" s="206"/>
    </row>
    <row r="24" spans="1:26" ht="20.399999999999999" x14ac:dyDescent="0.35">
      <c r="A24" s="2">
        <v>1877</v>
      </c>
      <c r="B24" s="2" t="s">
        <v>31</v>
      </c>
      <c r="C24" s="2" t="s">
        <v>19</v>
      </c>
      <c r="D24" s="3">
        <v>43140</v>
      </c>
      <c r="E24" s="4">
        <v>25719</v>
      </c>
      <c r="F24" s="2">
        <v>12</v>
      </c>
      <c r="G24" s="5">
        <v>5.7999999999999996E-3</v>
      </c>
      <c r="H24" s="6">
        <v>186489.11906743521</v>
      </c>
      <c r="I24" s="7"/>
      <c r="K24" s="7" t="str">
        <f t="shared" si="0"/>
        <v>פברואר</v>
      </c>
      <c r="M24" s="165"/>
      <c r="N24" s="7">
        <f t="shared" si="1"/>
        <v>43394</v>
      </c>
      <c r="O24" s="226"/>
      <c r="P24" s="165"/>
      <c r="Q24" s="165">
        <v>14</v>
      </c>
      <c r="R24" s="165" t="s">
        <v>376</v>
      </c>
      <c r="S24" s="165">
        <v>15</v>
      </c>
      <c r="T24" s="204"/>
      <c r="U24" s="165">
        <v>2022</v>
      </c>
      <c r="V24" s="165">
        <v>3</v>
      </c>
      <c r="W24" s="165"/>
      <c r="X24" s="225"/>
      <c r="Y24" s="165"/>
      <c r="Z24" s="206"/>
    </row>
    <row r="25" spans="1:26" ht="20.399999999999999" customHeight="1" x14ac:dyDescent="0.3">
      <c r="A25" s="2">
        <v>1878</v>
      </c>
      <c r="B25" s="2" t="s">
        <v>32</v>
      </c>
      <c r="C25" s="2" t="s">
        <v>9</v>
      </c>
      <c r="D25" s="3">
        <v>42629</v>
      </c>
      <c r="E25" s="4">
        <v>215746</v>
      </c>
      <c r="F25" s="2">
        <v>14</v>
      </c>
      <c r="G25" s="5">
        <v>8.0000000000000004E-4</v>
      </c>
      <c r="H25" s="6">
        <v>1094342.8807251898</v>
      </c>
      <c r="I25" s="7"/>
      <c r="K25" s="7" t="str">
        <f t="shared" si="0"/>
        <v>ספטמבר</v>
      </c>
      <c r="N25" s="7">
        <f t="shared" si="1"/>
        <v>44636</v>
      </c>
    </row>
    <row r="26" spans="1:26" ht="20.399999999999999" x14ac:dyDescent="0.35">
      <c r="A26" s="2">
        <v>1879</v>
      </c>
      <c r="B26" s="2" t="s">
        <v>33</v>
      </c>
      <c r="C26" s="2" t="s">
        <v>19</v>
      </c>
      <c r="D26" s="3">
        <v>40875</v>
      </c>
      <c r="E26" s="4">
        <v>131191</v>
      </c>
      <c r="F26" s="2">
        <v>10</v>
      </c>
      <c r="G26" s="5">
        <v>6.0000000000000001E-3</v>
      </c>
      <c r="H26" s="6">
        <v>203520.29998243746</v>
      </c>
      <c r="I26" s="7"/>
      <c r="K26" s="7" t="str">
        <f t="shared" si="0"/>
        <v>נובמבר</v>
      </c>
      <c r="M26" s="207"/>
      <c r="N26" s="7">
        <f t="shared" si="1"/>
        <v>41130</v>
      </c>
      <c r="O26" s="207"/>
      <c r="P26" s="207"/>
      <c r="Q26" s="207"/>
      <c r="R26" s="207"/>
      <c r="S26" s="207"/>
      <c r="T26" s="202" t="s">
        <v>355</v>
      </c>
      <c r="U26" s="202"/>
      <c r="V26" s="202"/>
      <c r="W26" s="202"/>
      <c r="X26" s="207"/>
      <c r="Y26" s="207"/>
      <c r="Z26" s="207"/>
    </row>
    <row r="27" spans="1:26" ht="20.399999999999999" x14ac:dyDescent="0.35">
      <c r="M27" s="167"/>
      <c r="N27" s="7">
        <f t="shared" si="1"/>
        <v>256</v>
      </c>
      <c r="O27" s="167"/>
      <c r="P27" s="167"/>
      <c r="Q27" s="167"/>
      <c r="R27" s="167"/>
      <c r="S27" s="167">
        <v>8</v>
      </c>
      <c r="T27" s="167"/>
      <c r="U27" s="167">
        <v>12</v>
      </c>
      <c r="V27" s="167"/>
      <c r="W27" s="167"/>
      <c r="X27" s="167"/>
      <c r="Y27" s="167"/>
      <c r="Z27" s="207"/>
    </row>
    <row r="28" spans="1:26" ht="20.399999999999999" x14ac:dyDescent="0.35">
      <c r="M28" s="156"/>
      <c r="N28" s="156"/>
      <c r="O28" s="156"/>
      <c r="P28" s="156"/>
      <c r="Q28" s="166"/>
      <c r="R28" s="156"/>
      <c r="S28" s="156"/>
      <c r="T28" s="156"/>
      <c r="U28" s="156"/>
      <c r="V28" s="156"/>
      <c r="W28" s="156"/>
      <c r="X28" s="156"/>
      <c r="Y28" s="156"/>
    </row>
    <row r="29" spans="1:26" ht="20.399999999999999" customHeight="1" x14ac:dyDescent="0.25"/>
    <row r="32" spans="1:26" ht="20.399999999999999" x14ac:dyDescent="0.35">
      <c r="M32" s="156"/>
      <c r="N32" s="156"/>
      <c r="O32" s="156"/>
      <c r="P32" s="156"/>
      <c r="Q32" s="166"/>
      <c r="R32" s="156"/>
      <c r="S32" s="156"/>
      <c r="T32" s="156"/>
      <c r="U32" s="156"/>
      <c r="V32" s="156"/>
      <c r="W32" s="156"/>
      <c r="X32" s="156"/>
      <c r="Y32" s="156"/>
    </row>
    <row r="33" spans="13:26" ht="20.399999999999999" x14ac:dyDescent="0.35">
      <c r="M33" s="227"/>
      <c r="N33" s="227"/>
      <c r="O33" s="227"/>
      <c r="P33" s="227"/>
      <c r="Q33" s="227"/>
      <c r="R33" s="227"/>
      <c r="S33" s="227"/>
      <c r="T33" s="227"/>
      <c r="U33" s="227"/>
      <c r="V33" s="377"/>
      <c r="W33" s="377"/>
      <c r="X33" s="377"/>
      <c r="Y33" s="377"/>
      <c r="Z33" s="162"/>
    </row>
    <row r="34" spans="13:26" ht="20.399999999999999" x14ac:dyDescent="0.35">
      <c r="M34" s="227"/>
      <c r="N34" s="227"/>
      <c r="O34" s="227"/>
      <c r="P34" s="227"/>
      <c r="Q34" s="227"/>
      <c r="R34" s="348">
        <f>MIN(N2:N27)</f>
        <v>256</v>
      </c>
      <c r="S34" s="227"/>
      <c r="T34" s="227"/>
      <c r="U34" s="227"/>
      <c r="V34" s="377"/>
      <c r="W34" s="377"/>
      <c r="X34" s="377"/>
      <c r="Y34" s="377"/>
      <c r="Z34" s="162"/>
    </row>
    <row r="35" spans="13:26" ht="20.399999999999999" x14ac:dyDescent="0.35">
      <c r="M35" s="227"/>
      <c r="N35" s="227"/>
      <c r="O35" s="227"/>
      <c r="P35" s="227"/>
      <c r="Q35" s="227"/>
      <c r="R35" s="227"/>
      <c r="S35" s="227"/>
      <c r="T35" s="227"/>
      <c r="U35" s="227"/>
      <c r="V35" s="227"/>
      <c r="W35" s="227"/>
      <c r="X35" s="227"/>
      <c r="Y35" s="227"/>
      <c r="Z35" s="162"/>
    </row>
    <row r="36" spans="13:26" ht="20.399999999999999" x14ac:dyDescent="0.35">
      <c r="M36" s="156"/>
      <c r="N36" s="156"/>
      <c r="O36" s="156"/>
      <c r="P36" s="156"/>
      <c r="Q36" s="156"/>
      <c r="R36" s="156"/>
      <c r="S36" s="156"/>
      <c r="T36" s="156"/>
      <c r="U36" s="156"/>
      <c r="V36" s="156"/>
    </row>
    <row r="37" spans="13:26" ht="20.399999999999999" x14ac:dyDescent="0.35">
      <c r="M37" s="156"/>
      <c r="N37" s="156"/>
      <c r="O37" s="272"/>
      <c r="P37" s="156"/>
      <c r="Q37" s="156"/>
      <c r="R37" s="156"/>
      <c r="S37" s="156"/>
      <c r="T37" s="156"/>
      <c r="U37" s="156"/>
      <c r="V37" s="156"/>
    </row>
    <row r="38" spans="13:26" ht="20.399999999999999" x14ac:dyDescent="0.35">
      <c r="M38" s="156"/>
      <c r="N38" s="156"/>
      <c r="O38" s="156"/>
      <c r="P38" s="156"/>
      <c r="Q38" s="156"/>
      <c r="R38" s="156"/>
      <c r="S38" s="156"/>
      <c r="T38" s="156"/>
      <c r="U38" s="156"/>
      <c r="V38" s="156"/>
    </row>
    <row r="39" spans="13:26" ht="20.399999999999999" x14ac:dyDescent="0.35">
      <c r="M39" s="156"/>
      <c r="N39" s="156"/>
      <c r="O39" s="156"/>
      <c r="P39" s="156"/>
      <c r="Q39" s="156"/>
      <c r="R39" s="156"/>
      <c r="S39" s="156"/>
      <c r="T39" s="156"/>
      <c r="U39" s="156"/>
      <c r="V39" s="156"/>
    </row>
    <row r="40" spans="13:26" ht="20.399999999999999" x14ac:dyDescent="0.35">
      <c r="M40" s="156"/>
      <c r="N40" s="156"/>
      <c r="O40" s="156"/>
      <c r="P40" s="156"/>
      <c r="Q40" s="156"/>
      <c r="R40" s="156"/>
      <c r="S40" s="156"/>
      <c r="T40" s="156"/>
      <c r="U40" s="156"/>
      <c r="V40" s="156"/>
    </row>
    <row r="41" spans="13:26" ht="20.399999999999999" x14ac:dyDescent="0.35">
      <c r="Q41" s="156"/>
    </row>
    <row r="42" spans="13:26" ht="20.399999999999999" x14ac:dyDescent="0.35">
      <c r="Q42" s="156"/>
      <c r="T42" s="7"/>
    </row>
    <row r="43" spans="13:26" ht="20.399999999999999" x14ac:dyDescent="0.35">
      <c r="Q43" s="156"/>
    </row>
    <row r="44" spans="13:26" ht="20.399999999999999" x14ac:dyDescent="0.35">
      <c r="Q44" s="156"/>
    </row>
    <row r="45" spans="13:26" ht="20.399999999999999" x14ac:dyDescent="0.35">
      <c r="Q45" s="156"/>
    </row>
    <row r="46" spans="13:26" ht="20.399999999999999" x14ac:dyDescent="0.35">
      <c r="Q46" s="156"/>
    </row>
    <row r="47" spans="13:26" ht="20.399999999999999" x14ac:dyDescent="0.35">
      <c r="Q47" s="156"/>
    </row>
    <row r="48" spans="13:26" ht="20.399999999999999" x14ac:dyDescent="0.35">
      <c r="Q48" s="156"/>
    </row>
    <row r="49" spans="17:17" ht="20.399999999999999" x14ac:dyDescent="0.35">
      <c r="Q49" s="156"/>
    </row>
    <row r="50" spans="17:17" ht="20.399999999999999" x14ac:dyDescent="0.35">
      <c r="Q50" s="156"/>
    </row>
  </sheetData>
  <mergeCells count="2">
    <mergeCell ref="V34:Y34"/>
    <mergeCell ref="V33:Y3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3E3DF-64BC-4D0C-90FF-5E66BE7D1E4F}">
  <dimension ref="A1:Y31"/>
  <sheetViews>
    <sheetView rightToLeft="1" zoomScale="85" zoomScaleNormal="85" workbookViewId="0">
      <selection activeCell="M29" sqref="M29"/>
    </sheetView>
  </sheetViews>
  <sheetFormatPr defaultRowHeight="13.8" x14ac:dyDescent="0.25"/>
  <cols>
    <col min="2" max="2" width="11.3984375" bestFit="1" customWidth="1"/>
    <col min="4" max="10" width="0" hidden="1" customWidth="1"/>
    <col min="11" max="11" width="12.59765625" customWidth="1"/>
    <col min="12" max="12" width="8.3984375" bestFit="1" customWidth="1"/>
    <col min="13" max="13" width="25" customWidth="1"/>
    <col min="14" max="15" width="21.8984375" customWidth="1"/>
    <col min="16" max="16" width="33.19921875" customWidth="1"/>
    <col min="17" max="17" width="23" customWidth="1"/>
    <col min="19" max="19" width="24.8984375" customWidth="1"/>
    <col min="24" max="24" width="21.19921875" customWidth="1"/>
  </cols>
  <sheetData>
    <row r="1" spans="1:25" ht="46.8" x14ac:dyDescent="0.25">
      <c r="A1" s="8" t="s">
        <v>35</v>
      </c>
      <c r="B1" s="160" t="s">
        <v>36</v>
      </c>
      <c r="C1" s="8" t="s">
        <v>37</v>
      </c>
      <c r="D1" s="9" t="s">
        <v>38</v>
      </c>
      <c r="E1" s="9" t="s">
        <v>39</v>
      </c>
      <c r="F1" s="8" t="s">
        <v>40</v>
      </c>
      <c r="G1" s="9" t="s">
        <v>41</v>
      </c>
      <c r="H1" s="10" t="s">
        <v>42</v>
      </c>
      <c r="I1" s="11" t="s">
        <v>43</v>
      </c>
      <c r="J1" s="11" t="s">
        <v>123</v>
      </c>
      <c r="L1" s="150"/>
      <c r="M1" s="150"/>
      <c r="N1" s="150" t="s">
        <v>378</v>
      </c>
      <c r="O1" s="161" t="s">
        <v>122</v>
      </c>
      <c r="P1" s="146" t="s">
        <v>232</v>
      </c>
      <c r="Q1" s="150"/>
      <c r="R1" s="147"/>
      <c r="T1" s="155"/>
      <c r="U1" s="152"/>
      <c r="V1" s="147"/>
    </row>
    <row r="2" spans="1:25" ht="15.6" x14ac:dyDescent="0.3">
      <c r="A2" s="12" t="s">
        <v>44</v>
      </c>
      <c r="B2" s="13">
        <v>44201</v>
      </c>
      <c r="C2" s="12" t="s">
        <v>8</v>
      </c>
      <c r="D2" s="14" t="s">
        <v>45</v>
      </c>
      <c r="E2" s="14" t="s">
        <v>46</v>
      </c>
      <c r="F2" s="14" t="s">
        <v>47</v>
      </c>
      <c r="G2" s="15" t="s">
        <v>48</v>
      </c>
      <c r="H2" s="16">
        <v>0.03</v>
      </c>
      <c r="I2" s="17">
        <v>102356</v>
      </c>
      <c r="J2" s="274">
        <f ca="1">(YEAR(TODAY())-YEAR(B2))*VLOOKUP(F2,'[2]נתונים נוספים'!$A$3:$C$9,3,FALSE)+VLOOKUP(F2,'[2]נתונים נוספים'!$A$3:$C$9,2,FALSE)</f>
        <v>23500</v>
      </c>
      <c r="K2" s="30"/>
      <c r="L2" s="30"/>
      <c r="M2" s="148"/>
      <c r="N2" s="30" t="str">
        <f>VLOOKUP(MONTH(B2),$X$4:$Y$7,2,1)</f>
        <v>רבעון 1</v>
      </c>
      <c r="O2" s="30" t="str">
        <f>IF(MONTH(B2)&lt;=$X$16,$Y$16,IF(MONTH(B2)&lt;=$X$17,$Y$17,IF(MONTH(B2)&lt;=$X$18,$Y$18,$Y$19)))</f>
        <v>רבעון 1</v>
      </c>
      <c r="P2" s="153"/>
      <c r="Q2" s="154"/>
      <c r="R2" s="30"/>
      <c r="S2" s="30"/>
      <c r="T2" s="30"/>
      <c r="U2" s="30"/>
      <c r="V2" s="30"/>
    </row>
    <row r="3" spans="1:25" ht="15.6" x14ac:dyDescent="0.3">
      <c r="A3" s="18" t="s">
        <v>49</v>
      </c>
      <c r="B3" s="19">
        <v>44207</v>
      </c>
      <c r="C3" s="18" t="s">
        <v>10</v>
      </c>
      <c r="D3" s="20" t="s">
        <v>50</v>
      </c>
      <c r="E3" s="20" t="s">
        <v>51</v>
      </c>
      <c r="F3" s="20" t="s">
        <v>52</v>
      </c>
      <c r="G3" s="21" t="s">
        <v>53</v>
      </c>
      <c r="H3" s="22">
        <v>0.01</v>
      </c>
      <c r="I3" s="17">
        <v>256968</v>
      </c>
      <c r="J3" s="274">
        <f ca="1">(YEAR(TODAY())-YEAR(B3))*VLOOKUP(F3,'[2]נתונים נוספים'!$A$3:$C$9,3,FALSE)+VLOOKUP(F3,'[2]נתונים נוספים'!$A$3:$C$9,2,FALSE)</f>
        <v>25900</v>
      </c>
      <c r="K3" s="30"/>
      <c r="L3" s="30"/>
      <c r="M3" s="148"/>
      <c r="N3" s="30" t="str">
        <f t="shared" ref="N3:N27" si="0">VLOOKUP(MONTH(B3),$X$4:$Y$7,2,1)</f>
        <v>רבעון 1</v>
      </c>
      <c r="O3" s="30" t="str">
        <f t="shared" ref="O3:O28" si="1">IF(MONTH(B3)&lt;=$X$16,$Y$16,IF(MONTH(B3)&lt;=$X$17,$Y$17,IF(MONTH(B3)&lt;=$X$18,$Y$18,$Y$19)))</f>
        <v>רבעון 1</v>
      </c>
      <c r="P3" s="153"/>
      <c r="Q3" s="154"/>
      <c r="R3" s="30"/>
      <c r="S3" s="30"/>
      <c r="T3" s="30"/>
      <c r="U3" s="30"/>
      <c r="V3" s="30"/>
      <c r="X3" s="380" t="s">
        <v>378</v>
      </c>
      <c r="Y3" s="380"/>
    </row>
    <row r="4" spans="1:25" ht="15.6" x14ac:dyDescent="0.3">
      <c r="A4" s="12" t="s">
        <v>54</v>
      </c>
      <c r="B4" s="13">
        <v>43113</v>
      </c>
      <c r="C4" s="12" t="s">
        <v>12</v>
      </c>
      <c r="D4" s="14" t="s">
        <v>55</v>
      </c>
      <c r="E4" s="14" t="s">
        <v>56</v>
      </c>
      <c r="F4" s="14" t="s">
        <v>57</v>
      </c>
      <c r="G4" s="15" t="s">
        <v>48</v>
      </c>
      <c r="H4" s="16">
        <v>0.05</v>
      </c>
      <c r="I4" s="17">
        <v>110875</v>
      </c>
      <c r="J4" s="274">
        <f ca="1">(YEAR(TODAY())-YEAR(B4))*VLOOKUP(F4,'[2]נתונים נוספים'!$A$3:$C$9,3,FALSE)+VLOOKUP(F4,'[2]נתונים נוספים'!$A$3:$C$9,2,FALSE)</f>
        <v>17500</v>
      </c>
      <c r="K4" s="30"/>
      <c r="L4" s="30"/>
      <c r="M4" s="148"/>
      <c r="N4" s="30" t="str">
        <f t="shared" si="0"/>
        <v>רבעון 1</v>
      </c>
      <c r="O4" s="30" t="str">
        <f t="shared" si="1"/>
        <v>רבעון 1</v>
      </c>
      <c r="P4" s="153"/>
      <c r="Q4" s="154"/>
      <c r="R4" s="30"/>
      <c r="S4" s="30"/>
      <c r="T4" s="30"/>
      <c r="U4" s="30"/>
      <c r="V4" s="30"/>
      <c r="X4">
        <v>0</v>
      </c>
      <c r="Y4" t="s">
        <v>219</v>
      </c>
    </row>
    <row r="5" spans="1:25" ht="15.6" x14ac:dyDescent="0.3">
      <c r="A5" s="18" t="s">
        <v>58</v>
      </c>
      <c r="B5" s="19">
        <v>43125</v>
      </c>
      <c r="C5" s="18" t="s">
        <v>13</v>
      </c>
      <c r="D5" s="20" t="s">
        <v>59</v>
      </c>
      <c r="E5" s="20" t="s">
        <v>60</v>
      </c>
      <c r="F5" s="20" t="s">
        <v>61</v>
      </c>
      <c r="G5" s="21" t="s">
        <v>53</v>
      </c>
      <c r="H5" s="22">
        <v>0.01</v>
      </c>
      <c r="I5" s="17">
        <v>236000</v>
      </c>
      <c r="J5" s="274">
        <f ca="1">(YEAR(TODAY())-YEAR(B5))*VLOOKUP(F5,'[2]נתונים נוספים'!$A$3:$C$9,3,FALSE)+VLOOKUP(F5,'[2]נתונים נוספים'!$A$3:$C$9,2,FALSE)</f>
        <v>14000</v>
      </c>
      <c r="K5" s="30"/>
      <c r="L5" s="30"/>
      <c r="M5" s="148"/>
      <c r="N5" s="30" t="str">
        <f t="shared" si="0"/>
        <v>רבעון 1</v>
      </c>
      <c r="O5" s="30" t="str">
        <f t="shared" si="1"/>
        <v>רבעון 1</v>
      </c>
      <c r="P5" s="153"/>
      <c r="Q5" s="154"/>
      <c r="R5" s="30"/>
      <c r="S5" s="30"/>
      <c r="T5" s="30"/>
      <c r="U5" s="30"/>
      <c r="V5" s="30"/>
      <c r="X5">
        <v>4</v>
      </c>
      <c r="Y5" t="s">
        <v>129</v>
      </c>
    </row>
    <row r="6" spans="1:25" ht="15.6" x14ac:dyDescent="0.3">
      <c r="A6" s="12" t="s">
        <v>62</v>
      </c>
      <c r="B6" s="13">
        <v>43857</v>
      </c>
      <c r="C6" s="12" t="s">
        <v>14</v>
      </c>
      <c r="D6" s="14" t="s">
        <v>63</v>
      </c>
      <c r="E6" s="14" t="s">
        <v>64</v>
      </c>
      <c r="F6" s="14" t="s">
        <v>65</v>
      </c>
      <c r="G6" s="15" t="s">
        <v>48</v>
      </c>
      <c r="H6" s="16">
        <v>7.0000000000000007E-2</v>
      </c>
      <c r="I6" s="17">
        <v>100000</v>
      </c>
      <c r="J6" s="274">
        <f ca="1">(YEAR(TODAY())-YEAR(B6))*VLOOKUP(F6,'[2]נתונים נוספים'!$A$3:$C$9,3,FALSE)+VLOOKUP(F6,'[2]נתונים נוספים'!$A$3:$C$9,2,FALSE)</f>
        <v>12200</v>
      </c>
      <c r="K6" s="30"/>
      <c r="L6" s="30"/>
      <c r="M6" s="148"/>
      <c r="N6" s="30" t="str">
        <f t="shared" si="0"/>
        <v>רבעון 1</v>
      </c>
      <c r="O6" s="30" t="str">
        <f t="shared" si="1"/>
        <v>רבעון 1</v>
      </c>
      <c r="P6" s="153"/>
      <c r="Q6" s="154"/>
      <c r="R6" s="30"/>
      <c r="S6" s="30"/>
      <c r="T6" s="30"/>
      <c r="U6" s="30"/>
      <c r="V6" s="30"/>
      <c r="X6">
        <v>7</v>
      </c>
      <c r="Y6" t="s">
        <v>220</v>
      </c>
    </row>
    <row r="7" spans="1:25" ht="15.6" x14ac:dyDescent="0.3">
      <c r="A7" s="18" t="s">
        <v>66</v>
      </c>
      <c r="B7" s="19">
        <v>43865</v>
      </c>
      <c r="C7" s="18" t="s">
        <v>13</v>
      </c>
      <c r="D7" s="20" t="s">
        <v>67</v>
      </c>
      <c r="E7" s="20" t="s">
        <v>68</v>
      </c>
      <c r="F7" s="20" t="s">
        <v>69</v>
      </c>
      <c r="G7" s="21" t="s">
        <v>48</v>
      </c>
      <c r="H7" s="22">
        <v>7.0000000000000007E-2</v>
      </c>
      <c r="I7" s="17">
        <v>280756</v>
      </c>
      <c r="J7" s="274">
        <f ca="1">(YEAR(TODAY())-YEAR(B7))*VLOOKUP(F7,'[2]נתונים נוספים'!$A$3:$C$9,3,FALSE)+VLOOKUP(F7,'[2]נתונים נוספים'!$A$3:$C$9,2,FALSE)</f>
        <v>16600</v>
      </c>
      <c r="K7" s="30"/>
      <c r="L7" s="30"/>
      <c r="M7" s="148"/>
      <c r="N7" s="30" t="str">
        <f t="shared" si="0"/>
        <v>רבעון 1</v>
      </c>
      <c r="O7" s="30" t="str">
        <f t="shared" si="1"/>
        <v>רבעון 1</v>
      </c>
      <c r="P7" s="153"/>
      <c r="Q7" s="154"/>
      <c r="R7" s="30"/>
      <c r="S7" s="30"/>
      <c r="T7" s="147"/>
      <c r="U7" s="147"/>
      <c r="V7" s="30"/>
      <c r="X7">
        <v>10</v>
      </c>
      <c r="Y7" t="s">
        <v>221</v>
      </c>
    </row>
    <row r="8" spans="1:25" ht="15.6" x14ac:dyDescent="0.3">
      <c r="A8" s="12" t="s">
        <v>70</v>
      </c>
      <c r="B8" s="13">
        <v>43509</v>
      </c>
      <c r="C8" s="12" t="s">
        <v>15</v>
      </c>
      <c r="D8" s="14" t="s">
        <v>71</v>
      </c>
      <c r="E8" s="14" t="s">
        <v>60</v>
      </c>
      <c r="F8" s="14" t="s">
        <v>72</v>
      </c>
      <c r="G8" s="15" t="s">
        <v>48</v>
      </c>
      <c r="H8" s="16">
        <v>0.1</v>
      </c>
      <c r="I8" s="17">
        <v>456890</v>
      </c>
      <c r="J8" s="274">
        <f ca="1">(YEAR(TODAY())-YEAR(B8))*VLOOKUP(F8,'[2]נתונים נוספים'!$A$3:$C$9,3,FALSE)+VLOOKUP(F8,'[2]נתונים נוספים'!$A$3:$C$9,2,FALSE)</f>
        <v>12750</v>
      </c>
      <c r="K8" s="30"/>
      <c r="L8" s="30"/>
      <c r="M8" s="148"/>
      <c r="N8" s="30" t="str">
        <f t="shared" si="0"/>
        <v>רבעון 1</v>
      </c>
      <c r="O8" s="30" t="str">
        <f t="shared" si="1"/>
        <v>רבעון 1</v>
      </c>
      <c r="P8" s="153"/>
      <c r="Q8" s="154"/>
      <c r="R8" s="30"/>
      <c r="S8" s="30"/>
      <c r="T8" s="30"/>
      <c r="U8" s="147"/>
      <c r="V8" s="30"/>
    </row>
    <row r="9" spans="1:25" ht="15.6" x14ac:dyDescent="0.3">
      <c r="A9" s="18" t="s">
        <v>73</v>
      </c>
      <c r="B9" s="19">
        <v>43552</v>
      </c>
      <c r="C9" s="18" t="s">
        <v>16</v>
      </c>
      <c r="D9" s="20" t="s">
        <v>74</v>
      </c>
      <c r="E9" s="20" t="s">
        <v>75</v>
      </c>
      <c r="F9" s="20" t="s">
        <v>47</v>
      </c>
      <c r="G9" s="23" t="s">
        <v>76</v>
      </c>
      <c r="H9" s="22">
        <v>0.15</v>
      </c>
      <c r="I9" s="17">
        <v>98653</v>
      </c>
      <c r="J9" s="274">
        <f ca="1">(YEAR(TODAY())-YEAR(B9))*VLOOKUP(F9,'[2]נתונים נוספים'!$A$3:$C$9,3,FALSE)+VLOOKUP(F9,'[2]נתונים נוספים'!$A$3:$C$9,2,FALSE)</f>
        <v>24500</v>
      </c>
      <c r="K9" s="30"/>
      <c r="L9" s="30"/>
      <c r="M9" s="148"/>
      <c r="N9" s="30" t="str">
        <f t="shared" si="0"/>
        <v>רבעון 1</v>
      </c>
      <c r="O9" s="30" t="str">
        <f t="shared" si="1"/>
        <v>רבעון 1</v>
      </c>
      <c r="P9" s="153"/>
      <c r="Q9" s="154"/>
      <c r="R9" s="30"/>
      <c r="S9" s="30"/>
      <c r="T9" s="30"/>
      <c r="U9" s="30"/>
      <c r="V9" s="30"/>
    </row>
    <row r="10" spans="1:25" ht="15.6" x14ac:dyDescent="0.3">
      <c r="A10" s="12" t="s">
        <v>77</v>
      </c>
      <c r="B10" s="13">
        <v>43558</v>
      </c>
      <c r="C10" s="12" t="s">
        <v>17</v>
      </c>
      <c r="D10" s="14" t="s">
        <v>78</v>
      </c>
      <c r="E10" s="14" t="s">
        <v>79</v>
      </c>
      <c r="F10" s="14" t="s">
        <v>52</v>
      </c>
      <c r="G10" s="15" t="s">
        <v>53</v>
      </c>
      <c r="H10" s="22">
        <v>0.01</v>
      </c>
      <c r="I10" s="17">
        <v>75000</v>
      </c>
      <c r="J10" s="274">
        <f ca="1">(YEAR(TODAY())-YEAR(B10))*VLOOKUP(F10,'[2]נתונים נוספים'!$A$3:$C$9,3,FALSE)+VLOOKUP(F10,'[2]נתונים נוספים'!$A$3:$C$9,2,FALSE)</f>
        <v>26500</v>
      </c>
      <c r="K10" s="30"/>
      <c r="L10" s="30"/>
      <c r="M10" s="148"/>
      <c r="N10" s="30" t="str">
        <f t="shared" si="0"/>
        <v>רבעון 2</v>
      </c>
      <c r="O10" s="30" t="str">
        <f t="shared" si="1"/>
        <v>רבעון 2</v>
      </c>
      <c r="P10" s="153"/>
      <c r="Q10" s="154"/>
      <c r="R10" s="30"/>
      <c r="S10" s="30"/>
      <c r="T10" s="148"/>
      <c r="U10" s="147"/>
      <c r="V10" s="30"/>
    </row>
    <row r="11" spans="1:25" ht="15.6" x14ac:dyDescent="0.3">
      <c r="A11" s="18" t="s">
        <v>80</v>
      </c>
      <c r="B11" s="19">
        <v>43207</v>
      </c>
      <c r="C11" s="18" t="s">
        <v>18</v>
      </c>
      <c r="D11" s="20" t="s">
        <v>81</v>
      </c>
      <c r="E11" s="20" t="s">
        <v>82</v>
      </c>
      <c r="F11" s="20" t="s">
        <v>57</v>
      </c>
      <c r="G11" s="23" t="s">
        <v>76</v>
      </c>
      <c r="H11" s="22">
        <v>0.12</v>
      </c>
      <c r="I11" s="17">
        <v>120332</v>
      </c>
      <c r="J11" s="274">
        <f ca="1">(YEAR(TODAY())-YEAR(B11))*VLOOKUP(F11,'[2]נתונים נוספים'!$A$3:$C$9,3,FALSE)+VLOOKUP(F11,'[2]נתונים נוספים'!$A$3:$C$9,2,FALSE)</f>
        <v>17500</v>
      </c>
      <c r="K11" s="30"/>
      <c r="L11" s="30"/>
      <c r="M11" s="148"/>
      <c r="N11" s="30" t="str">
        <f t="shared" si="0"/>
        <v>רבעון 2</v>
      </c>
      <c r="O11" s="30" t="str">
        <f t="shared" si="1"/>
        <v>רבעון 2</v>
      </c>
      <c r="P11" s="153"/>
      <c r="Q11" s="154"/>
      <c r="R11" s="30"/>
      <c r="S11" s="30"/>
      <c r="T11" s="30"/>
      <c r="U11" s="30"/>
      <c r="V11" s="30"/>
    </row>
    <row r="12" spans="1:25" ht="15.6" x14ac:dyDescent="0.3">
      <c r="A12" s="12" t="s">
        <v>83</v>
      </c>
      <c r="B12" s="13">
        <v>43213</v>
      </c>
      <c r="C12" s="12" t="s">
        <v>20</v>
      </c>
      <c r="D12" s="14" t="s">
        <v>84</v>
      </c>
      <c r="E12" s="14" t="s">
        <v>64</v>
      </c>
      <c r="F12" s="14" t="s">
        <v>61</v>
      </c>
      <c r="G12" s="15" t="s">
        <v>48</v>
      </c>
      <c r="H12" s="16">
        <v>0.08</v>
      </c>
      <c r="I12" s="17">
        <v>140000</v>
      </c>
      <c r="J12" s="274">
        <f ca="1">(YEAR(TODAY())-YEAR(B12))*VLOOKUP(F12,'[2]נתונים נוספים'!$A$3:$C$9,3,FALSE)+VLOOKUP(F12,'[2]נתונים נוספים'!$A$3:$C$9,2,FALSE)</f>
        <v>14000</v>
      </c>
      <c r="K12" s="30"/>
      <c r="L12" s="30"/>
      <c r="M12" s="148"/>
      <c r="N12" s="30" t="str">
        <f t="shared" si="0"/>
        <v>רבעון 2</v>
      </c>
      <c r="O12" s="30" t="str">
        <f t="shared" si="1"/>
        <v>רבעון 2</v>
      </c>
      <c r="P12" s="153"/>
      <c r="Q12" s="154"/>
      <c r="R12" s="30"/>
      <c r="S12" s="30"/>
      <c r="T12" s="30"/>
      <c r="U12" s="30"/>
      <c r="V12" s="30"/>
    </row>
    <row r="13" spans="1:25" ht="15.6" x14ac:dyDescent="0.3">
      <c r="A13" s="18" t="s">
        <v>85</v>
      </c>
      <c r="B13" s="19">
        <v>43216</v>
      </c>
      <c r="C13" s="18" t="s">
        <v>21</v>
      </c>
      <c r="D13" s="20" t="s">
        <v>86</v>
      </c>
      <c r="E13" s="20" t="s">
        <v>64</v>
      </c>
      <c r="F13" s="20" t="s">
        <v>65</v>
      </c>
      <c r="G13" s="21" t="s">
        <v>48</v>
      </c>
      <c r="H13" s="22">
        <v>0.06</v>
      </c>
      <c r="I13" s="17">
        <v>875875</v>
      </c>
      <c r="J13" s="274">
        <f ca="1">(YEAR(TODAY())-YEAR(B13))*VLOOKUP(F13,'[2]נתונים נוספים'!$A$3:$C$9,3,FALSE)+VLOOKUP(F13,'[2]נתונים נוספים'!$A$3:$C$9,2,FALSE)</f>
        <v>13300</v>
      </c>
      <c r="K13" s="30"/>
      <c r="L13" s="30"/>
      <c r="M13" s="148"/>
      <c r="N13" s="30" t="str">
        <f t="shared" si="0"/>
        <v>רבעון 2</v>
      </c>
      <c r="O13" s="30" t="str">
        <f t="shared" si="1"/>
        <v>רבעון 2</v>
      </c>
      <c r="P13" s="153"/>
      <c r="Q13" s="154"/>
      <c r="R13" s="30"/>
      <c r="S13" s="30"/>
      <c r="T13" s="30"/>
      <c r="U13" s="30"/>
      <c r="V13" s="30"/>
    </row>
    <row r="14" spans="1:25" ht="15.6" x14ac:dyDescent="0.3">
      <c r="A14" s="12" t="s">
        <v>87</v>
      </c>
      <c r="B14" s="13">
        <v>43221</v>
      </c>
      <c r="C14" s="12" t="s">
        <v>22</v>
      </c>
      <c r="D14" s="14" t="s">
        <v>88</v>
      </c>
      <c r="E14" s="14" t="s">
        <v>60</v>
      </c>
      <c r="F14" s="14" t="s">
        <v>69</v>
      </c>
      <c r="G14" s="15" t="s">
        <v>53</v>
      </c>
      <c r="H14" s="22">
        <v>0.01</v>
      </c>
      <c r="I14" s="17">
        <v>200000</v>
      </c>
      <c r="J14" s="274">
        <f ca="1">(YEAR(TODAY())-YEAR(B14))*VLOOKUP(F14,'[2]נתונים נוספים'!$A$3:$C$9,3,FALSE)+VLOOKUP(F14,'[2]נתונים נוספים'!$A$3:$C$9,2,FALSE)</f>
        <v>17400</v>
      </c>
      <c r="K14" s="30"/>
      <c r="L14" s="30"/>
      <c r="M14" s="148"/>
      <c r="N14" s="30" t="str">
        <f t="shared" si="0"/>
        <v>רבעון 2</v>
      </c>
      <c r="O14" s="30" t="str">
        <f t="shared" si="1"/>
        <v>רבעון 2</v>
      </c>
      <c r="P14" s="153"/>
      <c r="Q14" s="154"/>
      <c r="R14" s="30"/>
      <c r="S14" s="30"/>
      <c r="T14" s="149"/>
      <c r="U14" s="150"/>
      <c r="V14" s="150"/>
      <c r="X14" t="s">
        <v>377</v>
      </c>
    </row>
    <row r="15" spans="1:25" ht="15.6" x14ac:dyDescent="0.3">
      <c r="A15" s="18" t="s">
        <v>89</v>
      </c>
      <c r="B15" s="19">
        <v>43975</v>
      </c>
      <c r="C15" s="18" t="s">
        <v>23</v>
      </c>
      <c r="D15" s="20" t="s">
        <v>90</v>
      </c>
      <c r="E15" s="20" t="s">
        <v>46</v>
      </c>
      <c r="F15" s="20" t="s">
        <v>72</v>
      </c>
      <c r="G15" s="21" t="s">
        <v>48</v>
      </c>
      <c r="H15" s="22">
        <v>0.05</v>
      </c>
      <c r="I15" s="17">
        <v>360250</v>
      </c>
      <c r="J15" s="274">
        <f ca="1">(YEAR(TODAY())-YEAR(B15))*VLOOKUP(F15,'[2]נתונים נוספים'!$A$3:$C$9,3,FALSE)+VLOOKUP(F15,'[2]נתונים נוספים'!$A$3:$C$9,2,FALSE)</f>
        <v>12600</v>
      </c>
      <c r="K15" s="30"/>
      <c r="L15" s="30"/>
      <c r="M15" s="148"/>
      <c r="N15" s="30" t="str">
        <f t="shared" si="0"/>
        <v>רבעון 2</v>
      </c>
      <c r="O15" s="30" t="str">
        <f t="shared" si="1"/>
        <v>רבעון 2</v>
      </c>
      <c r="P15" s="153"/>
      <c r="Q15" s="154"/>
      <c r="R15" s="30"/>
      <c r="S15" s="30"/>
      <c r="T15" s="151"/>
      <c r="U15" s="30"/>
      <c r="V15" s="30"/>
    </row>
    <row r="16" spans="1:25" ht="23.4" x14ac:dyDescent="0.3">
      <c r="A16" s="12" t="s">
        <v>91</v>
      </c>
      <c r="B16" s="13">
        <v>43990</v>
      </c>
      <c r="C16" s="12" t="s">
        <v>24</v>
      </c>
      <c r="D16" s="14" t="s">
        <v>92</v>
      </c>
      <c r="E16" s="14" t="s">
        <v>82</v>
      </c>
      <c r="F16" s="14" t="s">
        <v>47</v>
      </c>
      <c r="G16" s="15" t="s">
        <v>48</v>
      </c>
      <c r="H16" s="16">
        <v>0.05</v>
      </c>
      <c r="I16" s="17">
        <v>422365</v>
      </c>
      <c r="J16" s="274">
        <f ca="1">(YEAR(TODAY())-YEAR(B16))*VLOOKUP(F16,'[2]נתונים נוספים'!$A$3:$C$9,3,FALSE)+VLOOKUP(F16,'[2]נתונים נוספים'!$A$3:$C$9,2,FALSE)</f>
        <v>24000</v>
      </c>
      <c r="K16" s="30"/>
      <c r="L16" s="30"/>
      <c r="M16" s="335"/>
      <c r="N16" s="30" t="str">
        <f t="shared" si="0"/>
        <v>רבעון 2</v>
      </c>
      <c r="O16" s="30" t="str">
        <f t="shared" si="1"/>
        <v>רבעון 2</v>
      </c>
      <c r="R16" s="30"/>
      <c r="S16" s="30"/>
      <c r="T16" s="151"/>
      <c r="U16" s="30"/>
      <c r="V16" s="30"/>
      <c r="X16">
        <v>3</v>
      </c>
      <c r="Y16" t="s">
        <v>219</v>
      </c>
    </row>
    <row r="17" spans="1:25" ht="23.4" x14ac:dyDescent="0.4">
      <c r="A17" s="18" t="s">
        <v>93</v>
      </c>
      <c r="B17" s="19">
        <v>43997</v>
      </c>
      <c r="C17" s="18" t="s">
        <v>25</v>
      </c>
      <c r="D17" s="20" t="s">
        <v>94</v>
      </c>
      <c r="E17" s="20" t="s">
        <v>75</v>
      </c>
      <c r="F17" s="20" t="s">
        <v>52</v>
      </c>
      <c r="G17" s="21" t="s">
        <v>48</v>
      </c>
      <c r="H17" s="22">
        <v>7.0000000000000007E-2</v>
      </c>
      <c r="I17" s="17">
        <v>123456</v>
      </c>
      <c r="J17" s="274">
        <f ca="1">(YEAR(TODAY())-YEAR(B17))*VLOOKUP(F17,'[2]נתונים נוספים'!$A$3:$C$9,3,FALSE)+VLOOKUP(F17,'[2]נתונים נוספים'!$A$3:$C$9,2,FALSE)</f>
        <v>26200</v>
      </c>
      <c r="K17" s="30"/>
      <c r="L17" s="30"/>
      <c r="M17" s="159"/>
      <c r="N17" s="30" t="str">
        <f t="shared" si="0"/>
        <v>רבעון 2</v>
      </c>
      <c r="O17" s="30" t="str">
        <f t="shared" si="1"/>
        <v>רבעון 2</v>
      </c>
      <c r="P17" s="379"/>
      <c r="Q17" s="379"/>
      <c r="R17" s="379"/>
      <c r="S17" s="379"/>
      <c r="T17" s="379"/>
      <c r="U17" s="379"/>
      <c r="V17" s="379"/>
      <c r="X17">
        <v>6</v>
      </c>
      <c r="Y17" t="s">
        <v>129</v>
      </c>
    </row>
    <row r="18" spans="1:25" ht="23.4" x14ac:dyDescent="0.45">
      <c r="A18" s="12" t="s">
        <v>95</v>
      </c>
      <c r="B18" s="13">
        <v>43705</v>
      </c>
      <c r="C18" s="12" t="s">
        <v>20</v>
      </c>
      <c r="D18" s="14" t="s">
        <v>96</v>
      </c>
      <c r="E18" s="14" t="s">
        <v>75</v>
      </c>
      <c r="F18" s="14" t="s">
        <v>57</v>
      </c>
      <c r="G18" s="15" t="s">
        <v>48</v>
      </c>
      <c r="H18" s="16">
        <v>0.08</v>
      </c>
      <c r="I18" s="17">
        <v>187654</v>
      </c>
      <c r="J18" s="274">
        <f ca="1">(YEAR(TODAY())-YEAR(B18))*VLOOKUP(F18,'[2]נתונים נוספים'!$A$3:$C$9,3,FALSE)+VLOOKUP(F18,'[2]נתונים נוספים'!$A$3:$C$9,2,FALSE)</f>
        <v>16750</v>
      </c>
      <c r="K18" s="30"/>
      <c r="L18" s="30"/>
      <c r="M18" s="159"/>
      <c r="N18" s="30" t="str">
        <f t="shared" si="0"/>
        <v>רבעון 3</v>
      </c>
      <c r="O18" s="30" t="str">
        <f t="shared" si="1"/>
        <v>רבעון 3</v>
      </c>
      <c r="P18" s="158"/>
      <c r="Q18" s="158"/>
      <c r="R18" s="378"/>
      <c r="S18" s="378"/>
      <c r="T18" s="157"/>
      <c r="U18" s="30"/>
      <c r="V18" s="30"/>
      <c r="X18">
        <v>9</v>
      </c>
      <c r="Y18" t="s">
        <v>220</v>
      </c>
    </row>
    <row r="19" spans="1:25" ht="23.4" x14ac:dyDescent="0.45">
      <c r="A19" s="18" t="s">
        <v>97</v>
      </c>
      <c r="B19" s="19">
        <v>44438</v>
      </c>
      <c r="C19" s="18" t="s">
        <v>26</v>
      </c>
      <c r="D19" s="20" t="s">
        <v>98</v>
      </c>
      <c r="E19" s="20" t="s">
        <v>56</v>
      </c>
      <c r="F19" s="20" t="s">
        <v>61</v>
      </c>
      <c r="G19" s="21" t="s">
        <v>48</v>
      </c>
      <c r="H19" s="22">
        <v>0.05</v>
      </c>
      <c r="I19" s="17">
        <v>440000</v>
      </c>
      <c r="J19" s="274">
        <f ca="1">(YEAR(TODAY())-YEAR(B19))*VLOOKUP(F19,'[2]נתונים נוספים'!$A$3:$C$9,3,FALSE)+VLOOKUP(F19,'[2]נתונים נוספים'!$A$3:$C$9,2,FALSE)</f>
        <v>13250</v>
      </c>
      <c r="K19" s="30"/>
      <c r="L19" s="30"/>
      <c r="M19" s="159"/>
      <c r="N19" s="30" t="str">
        <f t="shared" si="0"/>
        <v>רבעון 3</v>
      </c>
      <c r="O19" s="30" t="str">
        <f t="shared" si="1"/>
        <v>רבעון 3</v>
      </c>
      <c r="P19" s="158"/>
      <c r="Q19" s="158"/>
      <c r="R19" s="157"/>
      <c r="S19" s="157"/>
      <c r="T19" s="157"/>
      <c r="U19" s="30"/>
      <c r="V19" s="30"/>
      <c r="Y19" t="s">
        <v>221</v>
      </c>
    </row>
    <row r="20" spans="1:25" ht="23.4" x14ac:dyDescent="0.45">
      <c r="A20" s="12" t="s">
        <v>99</v>
      </c>
      <c r="B20" s="13">
        <v>43710</v>
      </c>
      <c r="C20" s="12" t="s">
        <v>27</v>
      </c>
      <c r="D20" s="14" t="s">
        <v>100</v>
      </c>
      <c r="E20" s="14" t="s">
        <v>101</v>
      </c>
      <c r="F20" s="14" t="s">
        <v>69</v>
      </c>
      <c r="G20" s="24" t="s">
        <v>76</v>
      </c>
      <c r="H20" s="16">
        <v>0.12</v>
      </c>
      <c r="I20" s="17">
        <v>365125</v>
      </c>
      <c r="J20" s="274">
        <f ca="1">(YEAR(TODAY())-YEAR(B20))*VLOOKUP(F20,'[2]נתונים נוספים'!$A$3:$C$9,3,FALSE)+VLOOKUP(F20,'[2]נתונים נוספים'!$A$3:$C$9,2,FALSE)</f>
        <v>17000</v>
      </c>
      <c r="K20" s="30"/>
      <c r="L20" s="30"/>
      <c r="M20" s="159"/>
      <c r="N20" s="30" t="str">
        <f t="shared" si="0"/>
        <v>רבעון 3</v>
      </c>
      <c r="O20" s="30" t="str">
        <f t="shared" si="1"/>
        <v>רבעון 3</v>
      </c>
      <c r="P20" s="158"/>
      <c r="Q20" s="158"/>
      <c r="R20" s="157"/>
      <c r="S20" s="157"/>
      <c r="T20" s="157"/>
      <c r="U20" s="30"/>
      <c r="V20" s="30"/>
    </row>
    <row r="21" spans="1:25" ht="15.6" x14ac:dyDescent="0.3">
      <c r="A21" s="18" t="s">
        <v>102</v>
      </c>
      <c r="B21" s="19">
        <v>43722</v>
      </c>
      <c r="C21" s="18" t="s">
        <v>28</v>
      </c>
      <c r="D21" s="20" t="s">
        <v>103</v>
      </c>
      <c r="E21" s="20" t="s">
        <v>75</v>
      </c>
      <c r="F21" s="20" t="s">
        <v>72</v>
      </c>
      <c r="G21" s="21" t="s">
        <v>48</v>
      </c>
      <c r="H21" s="22">
        <v>7.0000000000000007E-2</v>
      </c>
      <c r="I21" s="17">
        <v>321987</v>
      </c>
      <c r="J21" s="274">
        <f ca="1">(YEAR(TODAY())-YEAR(B21))*VLOOKUP(F21,'[2]נתונים נוספים'!$A$3:$C$9,3,FALSE)+VLOOKUP(F21,'[2]נתונים נוספים'!$A$3:$C$9,2,FALSE)</f>
        <v>12750</v>
      </c>
      <c r="K21" s="30"/>
      <c r="L21" s="30"/>
      <c r="M21" s="148"/>
      <c r="N21" s="30" t="str">
        <f t="shared" si="0"/>
        <v>רבעון 3</v>
      </c>
      <c r="O21" s="30" t="str">
        <f t="shared" si="1"/>
        <v>רבעון 3</v>
      </c>
      <c r="P21" s="153"/>
      <c r="Q21" s="154"/>
      <c r="R21" s="30"/>
      <c r="S21" s="30"/>
      <c r="T21" s="30"/>
      <c r="U21" s="30"/>
      <c r="V21" s="30"/>
    </row>
    <row r="22" spans="1:25" ht="15.6" x14ac:dyDescent="0.3">
      <c r="A22" s="12" t="s">
        <v>104</v>
      </c>
      <c r="B22" s="13">
        <v>43365</v>
      </c>
      <c r="C22" s="12" t="s">
        <v>29</v>
      </c>
      <c r="D22" s="14" t="s">
        <v>105</v>
      </c>
      <c r="E22" s="14" t="s">
        <v>60</v>
      </c>
      <c r="F22" s="14" t="s">
        <v>47</v>
      </c>
      <c r="G22" s="15" t="s">
        <v>48</v>
      </c>
      <c r="H22" s="16">
        <v>0.08</v>
      </c>
      <c r="I22" s="17">
        <v>133455</v>
      </c>
      <c r="J22" s="274">
        <f ca="1">(YEAR(TODAY())-YEAR(B22))*VLOOKUP(F22,'[2]נתונים נוספים'!$A$3:$C$9,3,FALSE)+VLOOKUP(F22,'[2]נתונים נוספים'!$A$3:$C$9,2,FALSE)</f>
        <v>25000</v>
      </c>
      <c r="K22" s="30"/>
      <c r="L22" s="30"/>
      <c r="M22" s="148"/>
      <c r="N22" s="30" t="str">
        <f t="shared" si="0"/>
        <v>רבעון 3</v>
      </c>
      <c r="O22" s="30" t="str">
        <f t="shared" si="1"/>
        <v>רבעון 3</v>
      </c>
      <c r="P22" s="153"/>
      <c r="Q22" s="154"/>
      <c r="R22" s="30"/>
      <c r="S22" s="30"/>
      <c r="T22" s="151"/>
      <c r="U22" s="30"/>
      <c r="V22" s="30"/>
    </row>
    <row r="23" spans="1:25" ht="15.6" x14ac:dyDescent="0.3">
      <c r="A23" s="18" t="s">
        <v>106</v>
      </c>
      <c r="B23" s="19">
        <v>43389</v>
      </c>
      <c r="C23" s="18" t="s">
        <v>30</v>
      </c>
      <c r="D23" s="20" t="s">
        <v>107</v>
      </c>
      <c r="E23" s="20" t="s">
        <v>108</v>
      </c>
      <c r="F23" s="20" t="s">
        <v>52</v>
      </c>
      <c r="G23" s="21" t="s">
        <v>48</v>
      </c>
      <c r="H23" s="22">
        <v>7.0000000000000007E-2</v>
      </c>
      <c r="I23" s="17">
        <v>170000</v>
      </c>
      <c r="J23" s="274">
        <f ca="1">(YEAR(TODAY())-YEAR(B23))*VLOOKUP(F23,'[2]נתונים נוספים'!$A$3:$C$9,3,FALSE)+VLOOKUP(F23,'[2]נתונים נוספים'!$A$3:$C$9,2,FALSE)</f>
        <v>26800</v>
      </c>
      <c r="K23" s="30"/>
      <c r="L23" s="30"/>
      <c r="M23" s="148"/>
      <c r="N23" s="30" t="str">
        <f t="shared" si="0"/>
        <v>רבעון 4</v>
      </c>
      <c r="O23" s="30" t="str">
        <f t="shared" si="1"/>
        <v>רבעון 4</v>
      </c>
      <c r="P23" s="153"/>
      <c r="Q23" s="154"/>
      <c r="R23" s="30"/>
      <c r="S23" s="30"/>
      <c r="T23" s="151"/>
      <c r="U23" s="30"/>
      <c r="V23" s="30"/>
    </row>
    <row r="24" spans="1:25" ht="15.6" x14ac:dyDescent="0.3">
      <c r="A24" s="12" t="s">
        <v>109</v>
      </c>
      <c r="B24" s="13">
        <v>43405</v>
      </c>
      <c r="C24" s="12" t="s">
        <v>31</v>
      </c>
      <c r="D24" s="14" t="s">
        <v>110</v>
      </c>
      <c r="E24" s="20" t="s">
        <v>68</v>
      </c>
      <c r="F24" s="14" t="s">
        <v>57</v>
      </c>
      <c r="G24" s="15" t="s">
        <v>48</v>
      </c>
      <c r="H24" s="16">
        <v>0.05</v>
      </c>
      <c r="I24" s="17">
        <v>258000</v>
      </c>
      <c r="J24" s="274">
        <f ca="1">(YEAR(TODAY())-YEAR(B24))*VLOOKUP(F24,'[2]נתונים נוספים'!$A$3:$C$9,3,FALSE)+VLOOKUP(F24,'[2]נתונים נוספים'!$A$3:$C$9,2,FALSE)</f>
        <v>17500</v>
      </c>
      <c r="K24" s="30"/>
      <c r="L24" s="30"/>
      <c r="M24" s="148"/>
      <c r="N24" s="30" t="str">
        <f t="shared" si="0"/>
        <v>רבעון 4</v>
      </c>
      <c r="O24" s="30" t="str">
        <f t="shared" si="1"/>
        <v>רבעון 4</v>
      </c>
      <c r="P24" s="153"/>
      <c r="Q24" s="154"/>
      <c r="R24" s="30"/>
      <c r="S24" s="30"/>
      <c r="T24" s="151"/>
      <c r="U24" s="30"/>
      <c r="V24" s="30"/>
    </row>
    <row r="25" spans="1:25" ht="15.6" x14ac:dyDescent="0.3">
      <c r="A25" s="18" t="s">
        <v>111</v>
      </c>
      <c r="B25" s="19">
        <v>43416</v>
      </c>
      <c r="C25" s="18" t="s">
        <v>32</v>
      </c>
      <c r="D25" s="20" t="s">
        <v>112</v>
      </c>
      <c r="E25" s="20" t="s">
        <v>113</v>
      </c>
      <c r="F25" s="20" t="s">
        <v>61</v>
      </c>
      <c r="G25" s="21" t="s">
        <v>53</v>
      </c>
      <c r="H25" s="22">
        <v>0.01</v>
      </c>
      <c r="I25" s="17">
        <v>145685</v>
      </c>
      <c r="J25" s="274">
        <f ca="1">(YEAR(TODAY())-YEAR(B25))*VLOOKUP(F25,'[2]נתונים נוספים'!$A$3:$C$9,3,FALSE)+VLOOKUP(F25,'[2]נתונים נוספים'!$A$3:$C$9,2,FALSE)</f>
        <v>14000</v>
      </c>
      <c r="K25" s="30"/>
      <c r="L25" s="30"/>
      <c r="M25" s="148"/>
      <c r="N25" s="30" t="str">
        <f t="shared" si="0"/>
        <v>רבעון 4</v>
      </c>
      <c r="O25" s="30" t="str">
        <f t="shared" si="1"/>
        <v>רבעון 4</v>
      </c>
      <c r="P25" s="153"/>
      <c r="Q25" s="154"/>
      <c r="R25" s="30"/>
      <c r="S25" s="30"/>
      <c r="T25" s="151"/>
      <c r="U25" s="30"/>
      <c r="V25" s="30"/>
    </row>
    <row r="26" spans="1:25" ht="15.6" x14ac:dyDescent="0.3">
      <c r="A26" s="12" t="s">
        <v>114</v>
      </c>
      <c r="B26" s="13">
        <v>43423</v>
      </c>
      <c r="C26" s="12" t="s">
        <v>33</v>
      </c>
      <c r="D26" s="14" t="s">
        <v>115</v>
      </c>
      <c r="E26" s="14" t="s">
        <v>56</v>
      </c>
      <c r="F26" s="14" t="s">
        <v>65</v>
      </c>
      <c r="G26" s="15" t="s">
        <v>53</v>
      </c>
      <c r="H26" s="22">
        <v>0.01</v>
      </c>
      <c r="I26" s="17">
        <v>36000</v>
      </c>
      <c r="J26" s="274">
        <f ca="1">(YEAR(TODAY())-YEAR(B26))*VLOOKUP(F26,'[2]נתונים נוספים'!$A$3:$C$9,3,FALSE)+VLOOKUP(F26,'[2]נתונים נוספים'!$A$3:$C$9,2,FALSE)</f>
        <v>13300</v>
      </c>
      <c r="K26" s="30"/>
      <c r="L26" s="30"/>
      <c r="M26" s="148"/>
      <c r="N26" s="30" t="str">
        <f t="shared" si="0"/>
        <v>רבעון 4</v>
      </c>
      <c r="O26" s="30" t="str">
        <f t="shared" si="1"/>
        <v>רבעון 4</v>
      </c>
      <c r="P26" s="153"/>
      <c r="Q26" s="154"/>
      <c r="R26" s="30"/>
      <c r="S26" s="30"/>
      <c r="T26" s="30"/>
      <c r="U26" s="30"/>
      <c r="V26" s="30"/>
    </row>
    <row r="27" spans="1:25" ht="15.6" x14ac:dyDescent="0.3">
      <c r="A27" s="18" t="s">
        <v>116</v>
      </c>
      <c r="B27" s="19">
        <v>43426</v>
      </c>
      <c r="C27" s="18" t="s">
        <v>117</v>
      </c>
      <c r="D27" s="20" t="s">
        <v>118</v>
      </c>
      <c r="E27" s="20" t="s">
        <v>79</v>
      </c>
      <c r="F27" s="20" t="s">
        <v>69</v>
      </c>
      <c r="G27" s="23" t="s">
        <v>76</v>
      </c>
      <c r="H27" s="22">
        <v>0.2</v>
      </c>
      <c r="I27" s="17">
        <v>77000</v>
      </c>
      <c r="J27" s="274">
        <f ca="1">(YEAR(TODAY())-YEAR(B27))*VLOOKUP(F27,'[2]נתונים נוספים'!$A$3:$C$9,3,FALSE)+VLOOKUP(F27,'[2]נתונים נוספים'!$A$3:$C$9,2,FALSE)</f>
        <v>17400</v>
      </c>
      <c r="K27" s="30"/>
      <c r="L27" s="30"/>
      <c r="M27" s="148"/>
      <c r="N27" s="30" t="str">
        <f t="shared" si="0"/>
        <v>רבעון 4</v>
      </c>
      <c r="O27" s="30" t="str">
        <f t="shared" si="1"/>
        <v>רבעון 4</v>
      </c>
      <c r="P27" s="153"/>
      <c r="Q27" s="154"/>
      <c r="R27" s="30"/>
      <c r="S27" s="30"/>
      <c r="T27" s="30"/>
      <c r="U27" s="30"/>
      <c r="V27" s="30"/>
    </row>
    <row r="28" spans="1:25" ht="15.6" x14ac:dyDescent="0.3">
      <c r="A28" s="25" t="s">
        <v>119</v>
      </c>
      <c r="B28" s="26">
        <v>44525</v>
      </c>
      <c r="C28" s="25" t="s">
        <v>120</v>
      </c>
      <c r="D28" s="27" t="s">
        <v>121</v>
      </c>
      <c r="E28" s="27" t="s">
        <v>101</v>
      </c>
      <c r="F28" s="27" t="s">
        <v>72</v>
      </c>
      <c r="G28" s="28" t="s">
        <v>48</v>
      </c>
      <c r="H28" s="29">
        <v>0.05</v>
      </c>
      <c r="I28" s="17">
        <v>280000</v>
      </c>
      <c r="J28" s="274">
        <f ca="1">(YEAR(TODAY())-YEAR(B28))*VLOOKUP(F28,'[2]נתונים נוספים'!$A$3:$C$9,3,FALSE)+VLOOKUP(F28,'[2]נתונים נוספים'!$A$3:$C$9,2,FALSE)</f>
        <v>12450</v>
      </c>
      <c r="K28" s="30"/>
      <c r="L28" s="30"/>
      <c r="M28" s="148"/>
      <c r="N28" s="30"/>
      <c r="O28" s="30" t="str">
        <f t="shared" si="1"/>
        <v>רבעון 4</v>
      </c>
      <c r="P28" s="153"/>
      <c r="Q28" s="154"/>
      <c r="R28" s="30"/>
      <c r="S28" s="30"/>
      <c r="T28" s="30"/>
      <c r="U28" s="30"/>
      <c r="V28" s="30"/>
    </row>
    <row r="29" spans="1:25" ht="15.6" x14ac:dyDescent="0.3">
      <c r="A29" s="31"/>
      <c r="B29" s="31"/>
      <c r="C29" s="31"/>
      <c r="D29" s="31"/>
      <c r="E29" s="31"/>
      <c r="F29" s="31"/>
      <c r="G29" s="30"/>
      <c r="H29" s="30"/>
      <c r="I29" s="30"/>
      <c r="J29" s="30"/>
      <c r="K29" s="30"/>
      <c r="L29" s="30"/>
      <c r="M29" s="30"/>
      <c r="N29" s="30"/>
      <c r="O29" s="30"/>
      <c r="P29" s="30"/>
      <c r="Q29" s="30"/>
      <c r="R29" s="30"/>
      <c r="S29" s="30"/>
      <c r="T29" s="30"/>
      <c r="U29" s="30"/>
      <c r="V29" s="30"/>
    </row>
    <row r="31" spans="1:25" x14ac:dyDescent="0.25">
      <c r="F31" t="s">
        <v>132</v>
      </c>
    </row>
  </sheetData>
  <mergeCells count="3">
    <mergeCell ref="R18:S18"/>
    <mergeCell ref="P17:V17"/>
    <mergeCell ref="X3:Y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5654D-CDAC-46BA-BFC0-9E2900CF3E04}">
  <dimension ref="A1:AH49"/>
  <sheetViews>
    <sheetView rightToLeft="1" topLeftCell="A9" zoomScale="95" zoomScaleNormal="95" workbookViewId="0">
      <selection activeCell="Q16" sqref="Q16"/>
    </sheetView>
  </sheetViews>
  <sheetFormatPr defaultRowHeight="13.8" x14ac:dyDescent="0.25"/>
  <cols>
    <col min="1" max="1" width="8.796875" style="41"/>
    <col min="2" max="2" width="15" style="41" hidden="1" customWidth="1"/>
    <col min="3" max="3" width="11" style="41" hidden="1" customWidth="1"/>
    <col min="4" max="4" width="14.69921875" style="41" hidden="1" customWidth="1"/>
    <col min="5" max="5" width="10.5" style="41" bestFit="1" customWidth="1"/>
    <col min="6" max="7" width="0" style="41" hidden="1" customWidth="1"/>
    <col min="8" max="8" width="20.8984375" style="41" hidden="1" customWidth="1"/>
    <col min="9" max="9" width="17.5" style="41" hidden="1" customWidth="1"/>
    <col min="10" max="10" width="16.3984375" style="41" hidden="1" customWidth="1"/>
    <col min="11" max="11" width="8.796875" style="41"/>
    <col min="12" max="12" width="11" style="41" bestFit="1" customWidth="1"/>
    <col min="13" max="13" width="27.69921875" style="41" customWidth="1"/>
    <col min="14" max="14" width="8.796875" style="41"/>
    <col min="15" max="15" width="16.69921875" style="41" customWidth="1"/>
    <col min="16" max="17" width="8.796875" style="41"/>
    <col min="18" max="19" width="10.59765625" style="41" bestFit="1" customWidth="1"/>
    <col min="20" max="16384" width="8.796875" style="41"/>
  </cols>
  <sheetData>
    <row r="1" spans="1:34" s="34" customFormat="1" ht="55.8" x14ac:dyDescent="0.3">
      <c r="A1" s="278" t="s">
        <v>0</v>
      </c>
      <c r="B1" s="175" t="s">
        <v>1</v>
      </c>
      <c r="C1" s="175" t="s">
        <v>2</v>
      </c>
      <c r="D1" s="175" t="s">
        <v>3</v>
      </c>
      <c r="E1" s="175" t="s">
        <v>244</v>
      </c>
      <c r="F1" s="175" t="s">
        <v>5</v>
      </c>
      <c r="G1" s="175" t="s">
        <v>6</v>
      </c>
      <c r="H1" s="175" t="s">
        <v>7</v>
      </c>
      <c r="I1" s="176" t="s">
        <v>133</v>
      </c>
      <c r="J1" s="176" t="s">
        <v>134</v>
      </c>
      <c r="K1" s="277" t="s">
        <v>135</v>
      </c>
      <c r="L1" s="170"/>
      <c r="M1" s="170"/>
      <c r="N1" s="174"/>
      <c r="O1" s="170"/>
      <c r="P1" s="170"/>
      <c r="Q1" s="170"/>
      <c r="R1" s="171"/>
      <c r="S1" s="277" t="s">
        <v>135</v>
      </c>
      <c r="T1" s="279"/>
      <c r="U1" s="170"/>
      <c r="V1" s="170"/>
      <c r="W1" s="170"/>
      <c r="X1" s="170"/>
      <c r="Y1" s="170"/>
      <c r="Z1" s="170"/>
      <c r="AA1" s="170"/>
      <c r="AB1" s="170"/>
      <c r="AC1" s="170"/>
      <c r="AD1" s="170"/>
      <c r="AE1" s="170"/>
      <c r="AF1" s="170"/>
    </row>
    <row r="2" spans="1:34" ht="14.4" x14ac:dyDescent="0.3">
      <c r="A2" s="35">
        <v>1855</v>
      </c>
      <c r="B2" s="35" t="s">
        <v>8</v>
      </c>
      <c r="C2" s="35" t="s">
        <v>9</v>
      </c>
      <c r="D2" s="36">
        <v>43723</v>
      </c>
      <c r="E2" s="349">
        <v>2500</v>
      </c>
      <c r="F2" s="350">
        <v>10</v>
      </c>
      <c r="G2" s="351">
        <v>8.9999999999999993E-3</v>
      </c>
      <c r="H2" s="352">
        <v>16761.877886011072</v>
      </c>
      <c r="I2" s="353">
        <f t="shared" ref="I2:I26" si="0">(H2-E2)*$B$28*(1-G2)</f>
        <v>43813.915053614619</v>
      </c>
      <c r="J2" s="353">
        <f>VLOOKUP(F2,'[3]נתונים נוספים'!$A$4:$D$9,VLOOKUP(AverageIf!C2,'[3]נתונים נוספים'!$F$4:$G$6,2,0),0)*AverageIf!$B$28*H2</f>
        <v>7794.2732169951478</v>
      </c>
      <c r="K2" s="354" t="str">
        <f t="shared" ref="K2:K26" si="1">TEXT(D2,"mmmm")</f>
        <v>ספטמבר</v>
      </c>
      <c r="L2" s="238"/>
      <c r="M2" s="168"/>
      <c r="N2" s="168"/>
      <c r="O2" s="168"/>
      <c r="P2" s="170"/>
      <c r="Q2" s="168"/>
      <c r="R2" s="172"/>
      <c r="S2" s="242" t="s">
        <v>380</v>
      </c>
      <c r="T2" s="168">
        <f>AVERAGEIF($K$2:$K$26,S2,$E$2:$E$26)</f>
        <v>164055.75</v>
      </c>
      <c r="U2" s="168"/>
      <c r="V2" s="168"/>
      <c r="W2" s="168"/>
      <c r="X2" s="168"/>
      <c r="Y2" s="168"/>
      <c r="Z2" s="168"/>
      <c r="AA2" s="168"/>
      <c r="AB2" s="168"/>
      <c r="AC2" s="168"/>
      <c r="AD2" s="168"/>
      <c r="AE2" s="168"/>
      <c r="AF2" s="168"/>
    </row>
    <row r="3" spans="1:34" ht="14.4" x14ac:dyDescent="0.3">
      <c r="A3" s="35">
        <v>1856</v>
      </c>
      <c r="B3" s="35" t="s">
        <v>10</v>
      </c>
      <c r="C3" s="35" t="s">
        <v>11</v>
      </c>
      <c r="D3" s="36">
        <v>42075</v>
      </c>
      <c r="E3" s="37">
        <v>146726</v>
      </c>
      <c r="F3" s="35">
        <v>13</v>
      </c>
      <c r="G3" s="38">
        <v>2.8999999999999998E-3</v>
      </c>
      <c r="H3" s="39">
        <v>214094.11260178176</v>
      </c>
      <c r="I3" s="40">
        <f t="shared" si="0"/>
        <v>208235.50973323346</v>
      </c>
      <c r="J3" s="40">
        <f>VLOOKUP(F3,'[3]נתונים נוספים'!$A$4:$D$9,VLOOKUP(AverageIf!C3,'[3]נתונים נוספים'!$F$4:$G$6,2,0),0)*AverageIf!$B$28*H3</f>
        <v>142693.72604908753</v>
      </c>
      <c r="K3" s="242" t="str">
        <f t="shared" si="1"/>
        <v>מרץ</v>
      </c>
      <c r="L3" s="238"/>
      <c r="M3" s="168"/>
      <c r="N3" s="170"/>
      <c r="O3" s="236"/>
      <c r="P3" s="168"/>
      <c r="Q3" s="168"/>
      <c r="R3" s="172"/>
      <c r="S3" s="242" t="s">
        <v>381</v>
      </c>
      <c r="T3" s="168">
        <f t="shared" ref="T3:T12" si="2">AVERAGEIF($K$2:$K$26,S3,$E$2:$E$26)</f>
        <v>146726</v>
      </c>
      <c r="U3" s="168"/>
      <c r="V3" s="168"/>
      <c r="W3" s="168"/>
      <c r="X3" s="168"/>
      <c r="Y3" s="168"/>
      <c r="Z3" s="168"/>
      <c r="AA3" s="168"/>
      <c r="AB3" s="168"/>
      <c r="AC3" s="168"/>
      <c r="AD3" s="168"/>
      <c r="AE3" s="168"/>
      <c r="AF3" s="168"/>
    </row>
    <row r="4" spans="1:34" ht="14.4" x14ac:dyDescent="0.3">
      <c r="A4" s="35">
        <v>1857</v>
      </c>
      <c r="B4" s="35" t="s">
        <v>12</v>
      </c>
      <c r="C4" s="35" t="s">
        <v>9</v>
      </c>
      <c r="D4" s="36">
        <v>43007</v>
      </c>
      <c r="E4" s="349">
        <v>253094</v>
      </c>
      <c r="F4" s="350">
        <v>10</v>
      </c>
      <c r="G4" s="351">
        <v>6.0000000000000001E-3</v>
      </c>
      <c r="H4" s="352">
        <v>307637.33883750002</v>
      </c>
      <c r="I4" s="353">
        <f t="shared" si="0"/>
        <v>168069.84429387259</v>
      </c>
      <c r="J4" s="353">
        <f>VLOOKUP(F4,'[3]נתונים נוספים'!$A$4:$D$9,VLOOKUP(AverageIf!C4,'[3]נתונים נוספים'!$F$4:$G$6,2,0),0)*AverageIf!$B$28*H4</f>
        <v>143051.36255943749</v>
      </c>
      <c r="K4" s="354" t="str">
        <f t="shared" si="1"/>
        <v>ספטמבר</v>
      </c>
      <c r="L4" s="238"/>
      <c r="M4" s="168"/>
      <c r="N4" s="168"/>
      <c r="O4" s="168"/>
      <c r="P4" s="168"/>
      <c r="Q4" s="168"/>
      <c r="R4" s="172"/>
      <c r="S4" s="242" t="s">
        <v>382</v>
      </c>
      <c r="T4" s="168">
        <f t="shared" si="2"/>
        <v>40226</v>
      </c>
      <c r="U4" s="168"/>
      <c r="V4" s="168"/>
      <c r="W4" s="168"/>
      <c r="X4" s="168"/>
      <c r="Y4" s="168"/>
      <c r="Z4" s="168"/>
      <c r="AA4" s="168"/>
      <c r="AB4" s="168"/>
      <c r="AC4" s="168"/>
      <c r="AD4" s="168"/>
      <c r="AE4" s="168"/>
      <c r="AF4" s="168"/>
    </row>
    <row r="5" spans="1:34" ht="14.4" x14ac:dyDescent="0.3">
      <c r="A5" s="35">
        <v>1858</v>
      </c>
      <c r="B5" s="35" t="s">
        <v>13</v>
      </c>
      <c r="C5" s="35" t="s">
        <v>9</v>
      </c>
      <c r="D5" s="36">
        <v>42367</v>
      </c>
      <c r="E5" s="37">
        <v>70131</v>
      </c>
      <c r="F5" s="35">
        <v>14</v>
      </c>
      <c r="G5" s="38">
        <v>1E-3</v>
      </c>
      <c r="H5" s="39">
        <v>332458.09982047207</v>
      </c>
      <c r="I5" s="40">
        <f t="shared" si="0"/>
        <v>812400.79543401999</v>
      </c>
      <c r="J5" s="40">
        <f>VLOOKUP(F5,'[3]נתונים נוספים'!$A$4:$D$9,VLOOKUP(AverageIf!C5,'[3]נתונים נוספים'!$F$4:$G$6,2,0),0)*AverageIf!$B$28*H5</f>
        <v>164899.21751095416</v>
      </c>
      <c r="K5" s="242" t="str">
        <f t="shared" si="1"/>
        <v>דצמבר</v>
      </c>
      <c r="L5" s="238"/>
      <c r="M5" s="168"/>
      <c r="N5" s="168"/>
      <c r="O5" s="168"/>
      <c r="P5" s="168"/>
      <c r="Q5" s="168"/>
      <c r="R5" s="172"/>
      <c r="S5" s="242" t="s">
        <v>383</v>
      </c>
      <c r="T5" s="168">
        <f t="shared" si="2"/>
        <v>33073.333333333336</v>
      </c>
      <c r="U5" s="168"/>
      <c r="V5" s="168"/>
      <c r="W5" s="168"/>
      <c r="X5" s="168"/>
      <c r="Y5" s="168"/>
      <c r="Z5" s="168"/>
      <c r="AA5" s="168"/>
      <c r="AB5" s="168"/>
      <c r="AC5" s="168"/>
      <c r="AD5" s="168"/>
      <c r="AE5" s="168"/>
      <c r="AF5" s="168"/>
    </row>
    <row r="6" spans="1:34" ht="14.4" x14ac:dyDescent="0.3">
      <c r="A6" s="35">
        <v>1859</v>
      </c>
      <c r="B6" s="35" t="s">
        <v>14</v>
      </c>
      <c r="C6" s="35" t="s">
        <v>9</v>
      </c>
      <c r="D6" s="36">
        <v>43866</v>
      </c>
      <c r="E6" s="37">
        <v>63372</v>
      </c>
      <c r="F6" s="35">
        <v>15</v>
      </c>
      <c r="G6" s="38">
        <v>1E-3</v>
      </c>
      <c r="H6" s="39">
        <v>1229261.9753939065</v>
      </c>
      <c r="I6" s="40">
        <f t="shared" si="0"/>
        <v>3610644.6647973889</v>
      </c>
      <c r="J6" s="40">
        <f>VLOOKUP(F6,'[3]נתונים נוספים'!$A$4:$D$9,VLOOKUP(AverageIf!C6,'[3]נתונים נוספים'!$F$4:$G$6,2,0),0)*AverageIf!$B$28*H6</f>
        <v>819303.10660003859</v>
      </c>
      <c r="K6" s="242" t="str">
        <f t="shared" si="1"/>
        <v>פברואר</v>
      </c>
      <c r="L6" s="238"/>
      <c r="M6" s="168"/>
      <c r="N6" s="168"/>
      <c r="O6" s="168"/>
      <c r="P6" s="168"/>
      <c r="Q6" s="168"/>
      <c r="R6" s="172"/>
      <c r="S6" s="242" t="s">
        <v>384</v>
      </c>
      <c r="T6" s="168">
        <f t="shared" si="2"/>
        <v>139011.5</v>
      </c>
      <c r="U6" s="168"/>
      <c r="V6" s="168"/>
      <c r="W6" s="168"/>
      <c r="X6" s="168"/>
      <c r="Y6" s="168"/>
      <c r="Z6" s="168"/>
      <c r="AA6" s="168"/>
      <c r="AB6" s="168"/>
      <c r="AC6" s="168"/>
      <c r="AD6" s="168"/>
      <c r="AE6" s="168"/>
      <c r="AF6" s="168"/>
    </row>
    <row r="7" spans="1:34" ht="14.4" x14ac:dyDescent="0.3">
      <c r="A7" s="35">
        <v>1860</v>
      </c>
      <c r="B7" s="35" t="s">
        <v>13</v>
      </c>
      <c r="C7" s="35" t="s">
        <v>11</v>
      </c>
      <c r="D7" s="36">
        <v>43604</v>
      </c>
      <c r="E7" s="37">
        <v>72483</v>
      </c>
      <c r="F7" s="35">
        <v>15</v>
      </c>
      <c r="G7" s="38">
        <v>1E-3</v>
      </c>
      <c r="H7" s="39">
        <v>1877660.4186721272</v>
      </c>
      <c r="I7" s="40">
        <f t="shared" si="0"/>
        <v>5590453.9478857107</v>
      </c>
      <c r="J7" s="40">
        <f>VLOOKUP(F7,'[3]נתונים נוספים'!$A$4:$D$9,VLOOKUP(AverageIf!C7,'[3]נתונים נוספים'!$F$4:$G$6,2,0),0)*AverageIf!$B$28*H7</f>
        <v>582074.72978835949</v>
      </c>
      <c r="K7" s="242" t="str">
        <f t="shared" si="1"/>
        <v>מאי</v>
      </c>
      <c r="L7" s="238"/>
      <c r="M7" s="168"/>
      <c r="N7" s="168"/>
      <c r="O7" s="168"/>
      <c r="P7" s="168"/>
      <c r="Q7" s="168"/>
      <c r="R7" s="172"/>
      <c r="S7" s="242" t="s">
        <v>385</v>
      </c>
      <c r="T7" s="168">
        <f t="shared" si="2"/>
        <v>60626.25</v>
      </c>
      <c r="U7" s="168"/>
      <c r="V7" s="168"/>
      <c r="W7" s="168"/>
      <c r="X7" s="168"/>
      <c r="Y7" s="168"/>
      <c r="Z7" s="168"/>
      <c r="AA7" s="168"/>
      <c r="AB7" s="168"/>
      <c r="AC7" s="168"/>
      <c r="AD7" s="168"/>
      <c r="AE7" s="168"/>
      <c r="AF7" s="168"/>
    </row>
    <row r="8" spans="1:34" ht="14.4" x14ac:dyDescent="0.3">
      <c r="A8" s="35">
        <v>1861</v>
      </c>
      <c r="B8" s="35" t="s">
        <v>15</v>
      </c>
      <c r="C8" s="35" t="s">
        <v>11</v>
      </c>
      <c r="D8" s="36">
        <v>42562</v>
      </c>
      <c r="E8" s="37">
        <v>108877</v>
      </c>
      <c r="F8" s="35">
        <v>13</v>
      </c>
      <c r="G8" s="38">
        <v>2.8999999999999998E-3</v>
      </c>
      <c r="H8" s="39">
        <v>986671.12314671697</v>
      </c>
      <c r="I8" s="40">
        <f t="shared" si="0"/>
        <v>2713270.4125877335</v>
      </c>
      <c r="J8" s="40">
        <f>VLOOKUP(F8,'[3]נתונים נוספים'!$A$4:$D$9,VLOOKUP(AverageIf!C8,'[3]נתונים נוספים'!$F$4:$G$6,2,0),0)*AverageIf!$B$28*H8</f>
        <v>657616.30357728689</v>
      </c>
      <c r="K8" s="242" t="str">
        <f t="shared" si="1"/>
        <v>יולי</v>
      </c>
      <c r="L8" s="238"/>
      <c r="M8" s="168"/>
      <c r="N8" s="168"/>
      <c r="O8" s="168"/>
      <c r="P8" s="168"/>
      <c r="Q8" s="168"/>
      <c r="R8" s="172"/>
      <c r="S8" s="242" t="s">
        <v>386</v>
      </c>
      <c r="T8" s="168">
        <f t="shared" si="2"/>
        <v>37685</v>
      </c>
      <c r="U8" s="168"/>
      <c r="V8" s="168"/>
      <c r="W8" s="168"/>
      <c r="X8" s="168"/>
      <c r="Y8" s="168"/>
      <c r="Z8" s="168"/>
      <c r="AA8" s="168"/>
      <c r="AB8" s="168"/>
      <c r="AC8" s="168"/>
      <c r="AD8" s="168"/>
      <c r="AE8" s="168"/>
      <c r="AF8" s="168"/>
    </row>
    <row r="9" spans="1:34" ht="14.4" x14ac:dyDescent="0.3">
      <c r="A9" s="35">
        <v>1862</v>
      </c>
      <c r="B9" s="35" t="s">
        <v>16</v>
      </c>
      <c r="C9" s="35" t="s">
        <v>11</v>
      </c>
      <c r="D9" s="36">
        <v>44321</v>
      </c>
      <c r="E9" s="37">
        <v>96681</v>
      </c>
      <c r="F9" s="35">
        <v>10</v>
      </c>
      <c r="G9" s="38">
        <v>7.0000000000000001E-3</v>
      </c>
      <c r="H9" s="39">
        <v>191421.76696540037</v>
      </c>
      <c r="I9" s="40">
        <f t="shared" si="0"/>
        <v>291640.50294959196</v>
      </c>
      <c r="J9" s="40">
        <f>VLOOKUP(F9,'[3]נתונים נוספים'!$A$4:$D$9,VLOOKUP(AverageIf!C9,'[3]נתונים נוספים'!$F$4:$G$6,2,0),0)*AverageIf!$B$28*H9</f>
        <v>89011.121638911165</v>
      </c>
      <c r="K9" s="242" t="str">
        <f t="shared" si="1"/>
        <v>מאי</v>
      </c>
      <c r="L9" s="238"/>
      <c r="M9" s="168"/>
      <c r="N9" s="168"/>
      <c r="O9" s="168"/>
      <c r="P9" s="168"/>
      <c r="Q9" s="168"/>
      <c r="R9" s="172"/>
      <c r="S9" s="242" t="s">
        <v>387</v>
      </c>
      <c r="T9" s="168">
        <f t="shared" si="2"/>
        <v>76982</v>
      </c>
      <c r="U9" s="168"/>
      <c r="V9" s="168"/>
      <c r="W9" s="168"/>
      <c r="X9" s="168"/>
      <c r="Y9" s="168"/>
      <c r="Z9" s="168"/>
      <c r="AA9" s="168"/>
      <c r="AB9" s="168"/>
      <c r="AC9" s="168"/>
      <c r="AD9" s="168"/>
      <c r="AE9" s="168"/>
      <c r="AF9" s="168"/>
    </row>
    <row r="10" spans="1:34" ht="14.4" x14ac:dyDescent="0.3">
      <c r="A10" s="35">
        <v>1863</v>
      </c>
      <c r="B10" s="35" t="s">
        <v>17</v>
      </c>
      <c r="C10" s="35" t="s">
        <v>11</v>
      </c>
      <c r="D10" s="36">
        <v>43400</v>
      </c>
      <c r="E10" s="37">
        <v>66590</v>
      </c>
      <c r="F10" s="35">
        <v>15</v>
      </c>
      <c r="G10" s="38">
        <v>1E-3</v>
      </c>
      <c r="H10" s="39">
        <v>377756.68354481296</v>
      </c>
      <c r="I10" s="40">
        <f t="shared" si="0"/>
        <v>963652.10226993135</v>
      </c>
      <c r="J10" s="40">
        <f>VLOOKUP(F10,'[3]נתונים נוספים'!$A$4:$D$9,VLOOKUP(AverageIf!C10,'[3]נתונים נוספים'!$F$4:$G$6,2,0),0)*AverageIf!$B$28*H10</f>
        <v>117104.57189889204</v>
      </c>
      <c r="K10" s="242" t="str">
        <f t="shared" si="1"/>
        <v>אוקטובר</v>
      </c>
      <c r="L10" s="238"/>
      <c r="M10" s="168"/>
      <c r="N10" s="168"/>
      <c r="O10" s="168"/>
      <c r="P10" s="168"/>
      <c r="Q10" s="168"/>
      <c r="R10" s="168"/>
      <c r="S10" s="242" t="s">
        <v>388</v>
      </c>
      <c r="T10" s="168">
        <f t="shared" si="2"/>
        <v>89045.5</v>
      </c>
      <c r="U10" s="168"/>
      <c r="V10" s="168"/>
      <c r="W10" s="168"/>
      <c r="X10" s="168"/>
      <c r="Y10" s="168"/>
      <c r="Z10" s="168"/>
      <c r="AA10" s="168"/>
      <c r="AB10" s="168"/>
      <c r="AC10" s="168"/>
      <c r="AD10" s="168"/>
      <c r="AE10" s="168"/>
      <c r="AF10" s="168"/>
    </row>
    <row r="11" spans="1:34" ht="14.4" x14ac:dyDescent="0.3">
      <c r="A11" s="35">
        <v>1864</v>
      </c>
      <c r="B11" s="35" t="s">
        <v>18</v>
      </c>
      <c r="C11" s="35" t="s">
        <v>19</v>
      </c>
      <c r="D11" s="36">
        <v>43977</v>
      </c>
      <c r="E11" s="37">
        <v>224708</v>
      </c>
      <c r="F11" s="35">
        <v>10</v>
      </c>
      <c r="G11" s="38">
        <v>6.0000000000000001E-3</v>
      </c>
      <c r="H11" s="39">
        <v>3453180.5195543682</v>
      </c>
      <c r="I11" s="40">
        <f t="shared" si="0"/>
        <v>9948215.2217548303</v>
      </c>
      <c r="J11" s="40">
        <f>VLOOKUP(F11,'[3]נתונים נוספים'!$A$4:$D$9,VLOOKUP(AverageIf!C11,'[3]נתונים נוספים'!$F$4:$G$6,2,0),0)*AverageIf!$B$28*H11</f>
        <v>1070485.9610618544</v>
      </c>
      <c r="K11" s="242" t="str">
        <f t="shared" si="1"/>
        <v>מאי</v>
      </c>
      <c r="L11" s="238"/>
      <c r="M11" s="168"/>
      <c r="N11" s="168"/>
      <c r="O11" s="168"/>
      <c r="P11" s="168"/>
      <c r="Q11" s="168"/>
      <c r="R11" s="168"/>
      <c r="S11" s="242" t="s">
        <v>389</v>
      </c>
      <c r="T11" s="168">
        <f t="shared" si="2"/>
        <v>56091</v>
      </c>
      <c r="U11" s="168"/>
      <c r="V11" s="168"/>
      <c r="W11" s="168"/>
      <c r="X11" s="168"/>
      <c r="Y11" s="168"/>
      <c r="Z11" s="168"/>
      <c r="AA11" s="168"/>
      <c r="AB11" s="168"/>
      <c r="AC11" s="168"/>
      <c r="AD11" s="168"/>
      <c r="AE11" s="168"/>
      <c r="AF11" s="168"/>
    </row>
    <row r="12" spans="1:34" ht="14.4" x14ac:dyDescent="0.3">
      <c r="A12" s="35">
        <v>1865</v>
      </c>
      <c r="B12" s="35" t="s">
        <v>20</v>
      </c>
      <c r="C12" s="35" t="s">
        <v>9</v>
      </c>
      <c r="D12" s="36">
        <v>44029</v>
      </c>
      <c r="E12" s="37">
        <v>49492</v>
      </c>
      <c r="F12" s="35">
        <v>14</v>
      </c>
      <c r="G12" s="38">
        <v>1.1000000000000001E-3</v>
      </c>
      <c r="H12" s="39">
        <v>2044762.0534205888</v>
      </c>
      <c r="I12" s="40">
        <f t="shared" si="0"/>
        <v>6178533.2947216621</v>
      </c>
      <c r="J12" s="40">
        <f>VLOOKUP(F12,'[3]נתונים נוספים'!$A$4:$D$9,VLOOKUP(AverageIf!C12,'[3]נתונים נוספים'!$F$4:$G$6,2,0),0)*AverageIf!$B$28*H12</f>
        <v>1014201.9784966122</v>
      </c>
      <c r="K12" s="242" t="str">
        <f t="shared" si="1"/>
        <v>יולי</v>
      </c>
      <c r="L12" s="238"/>
      <c r="M12" s="168"/>
      <c r="N12" s="168"/>
      <c r="O12" s="168"/>
      <c r="P12" s="168"/>
      <c r="Q12" s="168"/>
      <c r="R12" s="168"/>
      <c r="S12" s="242" t="s">
        <v>390</v>
      </c>
      <c r="T12" s="168">
        <f t="shared" si="2"/>
        <v>143689</v>
      </c>
      <c r="U12" s="168"/>
      <c r="V12" s="168"/>
      <c r="W12" s="168"/>
      <c r="X12" s="168"/>
      <c r="Y12" s="168"/>
      <c r="Z12" s="168"/>
      <c r="AA12" s="168"/>
      <c r="AB12" s="168"/>
      <c r="AC12" s="168"/>
      <c r="AD12" s="168"/>
      <c r="AE12" s="168"/>
      <c r="AF12" s="168"/>
    </row>
    <row r="13" spans="1:34" ht="14.4" x14ac:dyDescent="0.3">
      <c r="A13" s="35">
        <v>1866</v>
      </c>
      <c r="B13" s="35" t="s">
        <v>21</v>
      </c>
      <c r="C13" s="35" t="s">
        <v>9</v>
      </c>
      <c r="D13" s="36">
        <v>40661</v>
      </c>
      <c r="E13" s="37">
        <v>76982</v>
      </c>
      <c r="F13" s="35">
        <v>13</v>
      </c>
      <c r="G13" s="38">
        <v>3.8999999999999998E-3</v>
      </c>
      <c r="H13" s="39">
        <v>2617985.4305046364</v>
      </c>
      <c r="I13" s="40">
        <f t="shared" si="0"/>
        <v>7846389.9030895717</v>
      </c>
      <c r="J13" s="40">
        <f>VLOOKUP(F13,'[3]נתונים נוספים'!$A$4:$D$9,VLOOKUP(AverageIf!C13,'[3]נתונים נוספים'!$F$4:$G$6,2,0),0)*AverageIf!$B$28*H13</f>
        <v>1866623.6119498059</v>
      </c>
      <c r="K13" s="242" t="str">
        <f t="shared" si="1"/>
        <v>אפריל</v>
      </c>
      <c r="L13" s="238"/>
      <c r="M13" s="168"/>
      <c r="N13" s="168"/>
      <c r="O13" s="168"/>
      <c r="P13" s="168"/>
      <c r="Q13" s="168"/>
      <c r="R13" s="168"/>
      <c r="T13" s="168"/>
      <c r="U13" s="168"/>
      <c r="V13" s="168"/>
      <c r="W13" s="168"/>
      <c r="X13" s="168"/>
      <c r="Y13" s="168"/>
      <c r="Z13" s="168"/>
      <c r="AA13" s="168"/>
      <c r="AB13" s="168"/>
      <c r="AC13" s="168"/>
      <c r="AD13" s="168"/>
      <c r="AE13" s="168"/>
      <c r="AF13" s="168"/>
    </row>
    <row r="14" spans="1:34" ht="14.4" x14ac:dyDescent="0.3">
      <c r="A14" s="35">
        <v>1867</v>
      </c>
      <c r="B14" s="35" t="s">
        <v>22</v>
      </c>
      <c r="C14" s="35" t="s">
        <v>19</v>
      </c>
      <c r="D14" s="36">
        <v>40434</v>
      </c>
      <c r="E14" s="349">
        <v>184883</v>
      </c>
      <c r="F14" s="350">
        <v>10</v>
      </c>
      <c r="G14" s="351">
        <v>6.0000000000000001E-3</v>
      </c>
      <c r="H14" s="352">
        <v>2226133.6383189736</v>
      </c>
      <c r="I14" s="353">
        <f t="shared" si="0"/>
        <v>6289909.7169160852</v>
      </c>
      <c r="J14" s="353">
        <f>VLOOKUP(F14,'[3]נתונים נוספים'!$A$4:$D$9,VLOOKUP(AverageIf!C14,'[3]נתונים נוספים'!$F$4:$G$6,2,0),0)*AverageIf!$B$28*H14</f>
        <v>690101.42787888192</v>
      </c>
      <c r="K14" s="354" t="str">
        <f t="shared" si="1"/>
        <v>ספטמבר</v>
      </c>
      <c r="L14" s="238"/>
      <c r="M14" s="168"/>
      <c r="N14" s="168"/>
      <c r="O14" s="168"/>
      <c r="P14" s="168"/>
      <c r="Q14" s="168"/>
      <c r="R14" s="168"/>
      <c r="S14" s="168"/>
      <c r="T14" s="168"/>
      <c r="U14" s="168"/>
      <c r="V14" s="168"/>
      <c r="W14" s="168"/>
      <c r="X14" s="168"/>
      <c r="Y14" s="168"/>
      <c r="Z14" s="168"/>
      <c r="AA14" s="168"/>
      <c r="AB14" s="168"/>
      <c r="AC14" s="168"/>
      <c r="AD14" s="168"/>
      <c r="AE14" s="168"/>
      <c r="AF14" s="168"/>
    </row>
    <row r="15" spans="1:34" ht="14.4" x14ac:dyDescent="0.3">
      <c r="A15" s="35">
        <v>1868</v>
      </c>
      <c r="B15" s="35" t="s">
        <v>23</v>
      </c>
      <c r="C15" s="35" t="s">
        <v>19</v>
      </c>
      <c r="D15" s="36">
        <v>41924</v>
      </c>
      <c r="E15" s="37">
        <v>8780</v>
      </c>
      <c r="F15" s="35">
        <v>10</v>
      </c>
      <c r="G15" s="38">
        <v>8.9999999999999993E-3</v>
      </c>
      <c r="H15" s="39">
        <v>122381.75185310727</v>
      </c>
      <c r="I15" s="40">
        <f t="shared" si="0"/>
        <v>348995.94186793087</v>
      </c>
      <c r="J15" s="40">
        <f>VLOOKUP(F15,'[3]נתונים נוספים'!$A$4:$D$9,VLOOKUP(AverageIf!C15,'[3]נתונים נוספים'!$F$4:$G$6,2,0),0)*AverageIf!$B$28*H15</f>
        <v>37938.343074463257</v>
      </c>
      <c r="K15" s="242" t="str">
        <f t="shared" si="1"/>
        <v>אוקטובר</v>
      </c>
      <c r="L15" s="238"/>
      <c r="M15" s="168"/>
      <c r="N15" s="168"/>
      <c r="O15" s="168"/>
      <c r="P15" s="168"/>
      <c r="Q15" s="168"/>
      <c r="R15" s="168"/>
      <c r="S15" s="168"/>
      <c r="T15" s="168"/>
      <c r="U15" s="168"/>
      <c r="V15" s="168"/>
      <c r="W15" s="168"/>
      <c r="X15" s="168"/>
      <c r="Y15" s="168"/>
      <c r="Z15" s="168"/>
      <c r="AA15" s="168"/>
      <c r="AB15" s="168"/>
      <c r="AC15" s="168"/>
      <c r="AD15" s="168"/>
      <c r="AE15" s="168"/>
      <c r="AF15" s="168"/>
    </row>
    <row r="16" spans="1:34" ht="14.4" x14ac:dyDescent="0.3">
      <c r="A16" s="35">
        <v>1869</v>
      </c>
      <c r="B16" s="35" t="s">
        <v>24</v>
      </c>
      <c r="C16" s="35" t="s">
        <v>9</v>
      </c>
      <c r="D16" s="36">
        <v>41231</v>
      </c>
      <c r="E16" s="37">
        <v>46900</v>
      </c>
      <c r="F16" s="35">
        <v>14</v>
      </c>
      <c r="G16" s="38">
        <v>1.1000000000000001E-3</v>
      </c>
      <c r="H16" s="39">
        <v>80582.931834117058</v>
      </c>
      <c r="I16" s="40">
        <f t="shared" si="0"/>
        <v>104302.22988820855</v>
      </c>
      <c r="J16" s="40">
        <f>VLOOKUP(F16,'[3]נתונים נוספים'!$A$4:$D$9,VLOOKUP(AverageIf!C16,'[3]נתונים נוספים'!$F$4:$G$6,2,0),0)*AverageIf!$B$28*H16</f>
        <v>39969.134189722063</v>
      </c>
      <c r="K16" s="242" t="str">
        <f t="shared" si="1"/>
        <v>נובמבר</v>
      </c>
      <c r="L16" s="238"/>
      <c r="M16" s="168"/>
      <c r="N16" s="168"/>
      <c r="O16" s="168"/>
      <c r="P16" s="168"/>
      <c r="Q16" s="168"/>
      <c r="R16" s="168"/>
      <c r="S16" s="168"/>
      <c r="T16" s="168"/>
      <c r="U16" s="168"/>
      <c r="V16" s="168"/>
      <c r="W16" s="168"/>
      <c r="X16" s="168"/>
      <c r="Y16" s="168"/>
      <c r="Z16" s="168"/>
      <c r="AA16" s="168"/>
      <c r="AB16" s="168"/>
      <c r="AC16" s="168"/>
      <c r="AD16" s="168"/>
      <c r="AE16" s="168"/>
      <c r="AF16" s="168"/>
      <c r="AG16" s="168"/>
      <c r="AH16" s="168"/>
    </row>
    <row r="17" spans="1:34" ht="14.4" x14ac:dyDescent="0.3">
      <c r="A17" s="35">
        <v>1870</v>
      </c>
      <c r="B17" s="35" t="s">
        <v>25</v>
      </c>
      <c r="C17" s="35" t="s">
        <v>9</v>
      </c>
      <c r="D17" s="36">
        <v>41419</v>
      </c>
      <c r="E17" s="37">
        <v>162174</v>
      </c>
      <c r="F17" s="35">
        <v>14</v>
      </c>
      <c r="G17" s="38">
        <v>8.0000000000000004E-4</v>
      </c>
      <c r="H17" s="39">
        <v>1078268.712803452</v>
      </c>
      <c r="I17" s="40">
        <f t="shared" si="0"/>
        <v>2837621.6948029487</v>
      </c>
      <c r="J17" s="40">
        <f>VLOOKUP(F17,'[3]נתונים נוספים'!$A$4:$D$9,VLOOKUP(AverageIf!C17,'[3]נתונים נוספים'!$F$4:$G$6,2,0),0)*AverageIf!$B$28*H17</f>
        <v>534821.2815505123</v>
      </c>
      <c r="K17" s="242" t="str">
        <f t="shared" si="1"/>
        <v>מאי</v>
      </c>
      <c r="L17" s="238"/>
      <c r="M17" s="168"/>
      <c r="N17" s="168"/>
      <c r="O17" s="168"/>
      <c r="P17" s="168"/>
      <c r="Q17" s="168"/>
      <c r="R17" s="168"/>
      <c r="S17" s="168"/>
      <c r="T17" s="168"/>
      <c r="U17" s="168"/>
      <c r="V17" s="168"/>
      <c r="W17" s="168"/>
      <c r="X17" s="168"/>
      <c r="Y17" s="168"/>
      <c r="Z17" s="168"/>
      <c r="AA17" s="168"/>
      <c r="AB17" s="168"/>
      <c r="AC17" s="168"/>
      <c r="AD17" s="168"/>
      <c r="AE17" s="168"/>
      <c r="AF17" s="168"/>
      <c r="AG17" s="168"/>
      <c r="AH17" s="168"/>
    </row>
    <row r="18" spans="1:34" ht="14.4" x14ac:dyDescent="0.3">
      <c r="A18" s="35">
        <v>1871</v>
      </c>
      <c r="B18" s="35" t="s">
        <v>20</v>
      </c>
      <c r="C18" s="35" t="s">
        <v>9</v>
      </c>
      <c r="D18" s="36">
        <v>41617</v>
      </c>
      <c r="E18" s="37">
        <v>10321</v>
      </c>
      <c r="F18" s="35">
        <v>14</v>
      </c>
      <c r="G18" s="38">
        <v>1.1000000000000001E-3</v>
      </c>
      <c r="H18" s="39">
        <v>372444.86881914415</v>
      </c>
      <c r="I18" s="40">
        <f t="shared" si="0"/>
        <v>1121349.1509466737</v>
      </c>
      <c r="J18" s="40">
        <f>VLOOKUP(F18,'[3]נתונים נוספים'!$A$4:$D$9,VLOOKUP(AverageIf!C18,'[3]נתונים נוספים'!$F$4:$G$6,2,0),0)*AverageIf!$B$28*H18</f>
        <v>184732.65493429551</v>
      </c>
      <c r="K18" s="242" t="str">
        <f t="shared" si="1"/>
        <v>דצמבר</v>
      </c>
      <c r="L18" s="238"/>
      <c r="M18" s="168"/>
      <c r="N18" s="168"/>
      <c r="O18" s="168"/>
      <c r="P18" s="168"/>
      <c r="Q18" s="168"/>
      <c r="R18" s="168"/>
      <c r="S18" s="168"/>
      <c r="T18" s="168"/>
      <c r="U18" s="168"/>
      <c r="V18" s="168"/>
      <c r="W18" s="168"/>
      <c r="X18" s="168"/>
      <c r="Y18" s="168"/>
      <c r="Z18" s="168"/>
      <c r="AA18" s="168"/>
      <c r="AB18" s="168"/>
      <c r="AC18" s="168"/>
      <c r="AD18" s="168"/>
      <c r="AE18" s="168"/>
      <c r="AF18" s="168"/>
      <c r="AG18" s="168"/>
      <c r="AH18" s="168"/>
    </row>
    <row r="19" spans="1:34" ht="14.4" x14ac:dyDescent="0.3">
      <c r="A19" s="35">
        <v>1872</v>
      </c>
      <c r="B19" s="35" t="s">
        <v>26</v>
      </c>
      <c r="C19" s="35" t="s">
        <v>9</v>
      </c>
      <c r="D19" s="36">
        <v>43638</v>
      </c>
      <c r="E19" s="37">
        <v>56091</v>
      </c>
      <c r="F19" s="35">
        <v>15</v>
      </c>
      <c r="G19" s="38">
        <v>1E-3</v>
      </c>
      <c r="H19" s="39">
        <v>1453028.3037917621</v>
      </c>
      <c r="I19" s="40">
        <f t="shared" si="0"/>
        <v>4326175.1361127077</v>
      </c>
      <c r="J19" s="40">
        <f>VLOOKUP(F19,'[3]נתונים נוספים'!$A$4:$D$9,VLOOKUP(AverageIf!C19,'[3]נתונים נוספים'!$F$4:$G$6,2,0),0)*AverageIf!$B$28*H19</f>
        <v>968443.3644772094</v>
      </c>
      <c r="K19" s="242" t="str">
        <f t="shared" si="1"/>
        <v>יוני</v>
      </c>
      <c r="L19" s="238"/>
      <c r="M19" s="168"/>
      <c r="N19" s="168"/>
      <c r="O19" s="168"/>
      <c r="P19" s="168"/>
      <c r="Q19" s="168"/>
      <c r="R19" s="168"/>
      <c r="S19" s="168"/>
      <c r="T19" s="168"/>
      <c r="U19" s="168"/>
      <c r="V19" s="168"/>
      <c r="W19" s="168"/>
      <c r="X19" s="168"/>
      <c r="Y19" s="168"/>
      <c r="Z19" s="168"/>
      <c r="AA19" s="168"/>
      <c r="AB19" s="168"/>
      <c r="AC19" s="168"/>
      <c r="AD19" s="168"/>
      <c r="AE19" s="168"/>
      <c r="AF19" s="168"/>
      <c r="AG19" s="168"/>
      <c r="AH19" s="168"/>
    </row>
    <row r="20" spans="1:34" ht="14.4" x14ac:dyDescent="0.3">
      <c r="A20" s="35">
        <v>1873</v>
      </c>
      <c r="B20" s="35" t="s">
        <v>27</v>
      </c>
      <c r="C20" s="35" t="s">
        <v>11</v>
      </c>
      <c r="D20" s="36">
        <v>43291</v>
      </c>
      <c r="E20" s="37">
        <v>12866</v>
      </c>
      <c r="F20" s="35">
        <v>10</v>
      </c>
      <c r="G20" s="38">
        <v>8.0000000000000002E-3</v>
      </c>
      <c r="H20" s="39">
        <v>133822.73527755728</v>
      </c>
      <c r="I20" s="40">
        <f t="shared" si="0"/>
        <v>371966.15232554416</v>
      </c>
      <c r="J20" s="40">
        <f>VLOOKUP(F20,'[3]נתונים נוספים'!$A$4:$D$9,VLOOKUP(AverageIf!C20,'[3]נתונים נוספים'!$F$4:$G$6,2,0),0)*AverageIf!$B$28*H20</f>
        <v>62227.571904064134</v>
      </c>
      <c r="K20" s="242" t="str">
        <f t="shared" si="1"/>
        <v>יולי</v>
      </c>
      <c r="L20" s="238"/>
      <c r="M20" s="168"/>
      <c r="N20" s="168"/>
      <c r="O20" s="168"/>
      <c r="P20" s="168"/>
      <c r="Q20" s="168"/>
      <c r="R20" s="168"/>
      <c r="S20" s="168"/>
      <c r="T20" s="168"/>
      <c r="U20" s="168"/>
      <c r="V20" s="168"/>
      <c r="W20" s="168"/>
      <c r="X20" s="168"/>
      <c r="Y20" s="168"/>
      <c r="Z20" s="168"/>
      <c r="AA20" s="168"/>
      <c r="AB20" s="168"/>
      <c r="AC20" s="168"/>
      <c r="AD20" s="168"/>
      <c r="AE20" s="168"/>
      <c r="AF20" s="168"/>
      <c r="AG20" s="168"/>
      <c r="AH20" s="168"/>
    </row>
    <row r="21" spans="1:34" ht="14.4" x14ac:dyDescent="0.3">
      <c r="A21" s="35">
        <v>1874</v>
      </c>
      <c r="B21" s="35" t="s">
        <v>28</v>
      </c>
      <c r="C21" s="35" t="s">
        <v>11</v>
      </c>
      <c r="D21" s="36">
        <v>43282</v>
      </c>
      <c r="E21" s="37">
        <v>71270</v>
      </c>
      <c r="F21" s="35">
        <v>13</v>
      </c>
      <c r="G21" s="38">
        <v>3.8999999999999998E-3</v>
      </c>
      <c r="H21" s="39">
        <v>142479.52031448073</v>
      </c>
      <c r="I21" s="40">
        <f t="shared" si="0"/>
        <v>219888.58987428818</v>
      </c>
      <c r="J21" s="40">
        <f>VLOOKUP(F21,'[3]נתונים נוספים'!$A$4:$D$9,VLOOKUP(AverageIf!C21,'[3]נתונים נוספים'!$F$4:$G$6,2,0),0)*AverageIf!$B$28*H21</f>
        <v>94962.600289601411</v>
      </c>
      <c r="K21" s="242" t="str">
        <f t="shared" si="1"/>
        <v>יולי</v>
      </c>
      <c r="L21" s="238"/>
      <c r="M21" s="168"/>
      <c r="N21" s="168"/>
      <c r="O21" s="168"/>
      <c r="P21" s="168"/>
      <c r="Q21" s="168"/>
      <c r="R21" s="168"/>
      <c r="S21" s="168"/>
      <c r="T21" s="168"/>
      <c r="U21" s="168"/>
      <c r="V21" s="168"/>
      <c r="W21" s="168"/>
      <c r="X21" s="168"/>
      <c r="Y21" s="168"/>
      <c r="Z21" s="168"/>
      <c r="AA21" s="168"/>
      <c r="AB21" s="168"/>
      <c r="AC21" s="168"/>
      <c r="AD21" s="168"/>
      <c r="AE21" s="168"/>
      <c r="AF21" s="168"/>
      <c r="AG21" s="168"/>
      <c r="AH21" s="168"/>
    </row>
    <row r="22" spans="1:34" ht="14.4" x14ac:dyDescent="0.3">
      <c r="A22" s="35">
        <v>1875</v>
      </c>
      <c r="B22" s="35" t="s">
        <v>29</v>
      </c>
      <c r="C22" s="35" t="s">
        <v>11</v>
      </c>
      <c r="D22" s="36">
        <v>43497</v>
      </c>
      <c r="E22" s="37">
        <v>10129</v>
      </c>
      <c r="F22" s="35">
        <v>14</v>
      </c>
      <c r="G22" s="38">
        <v>1.1000000000000001E-3</v>
      </c>
      <c r="H22" s="39">
        <v>22812.44860458418</v>
      </c>
      <c r="I22" s="40">
        <f t="shared" si="0"/>
        <v>39275.440114469333</v>
      </c>
      <c r="J22" s="40">
        <f>VLOOKUP(F22,'[3]נתונים נוספים'!$A$4:$D$9,VLOOKUP(AverageIf!C22,'[3]נתונים נוספים'!$F$4:$G$6,2,0),0)*AverageIf!$B$28*H22</f>
        <v>10607.788601131644</v>
      </c>
      <c r="K22" s="242" t="str">
        <f t="shared" si="1"/>
        <v>פברואר</v>
      </c>
      <c r="L22" s="238"/>
      <c r="M22" s="168"/>
      <c r="N22" s="168"/>
      <c r="O22" s="168"/>
      <c r="P22" s="168"/>
      <c r="Q22" s="168"/>
      <c r="R22" s="168"/>
      <c r="S22" s="168"/>
      <c r="T22" s="168"/>
      <c r="U22" s="168"/>
      <c r="V22" s="168"/>
      <c r="W22" s="168"/>
      <c r="X22" s="168"/>
      <c r="Y22" s="168"/>
      <c r="Z22" s="168"/>
      <c r="AA22" s="168"/>
      <c r="AB22" s="168"/>
      <c r="AC22" s="168"/>
      <c r="AD22" s="168"/>
      <c r="AE22" s="168"/>
      <c r="AF22" s="168"/>
      <c r="AG22" s="168"/>
      <c r="AH22" s="168"/>
    </row>
    <row r="23" spans="1:34" ht="14.4" x14ac:dyDescent="0.3">
      <c r="A23" s="35">
        <v>1876</v>
      </c>
      <c r="B23" s="35" t="s">
        <v>30</v>
      </c>
      <c r="C23" s="35" t="s">
        <v>19</v>
      </c>
      <c r="D23" s="36">
        <v>42752</v>
      </c>
      <c r="E23" s="37">
        <v>143689</v>
      </c>
      <c r="F23" s="35">
        <v>13</v>
      </c>
      <c r="G23" s="38">
        <v>2.8999999999999998E-3</v>
      </c>
      <c r="H23" s="39">
        <v>1900016.8003544933</v>
      </c>
      <c r="I23" s="40">
        <f t="shared" si="0"/>
        <v>5428826.7941737426</v>
      </c>
      <c r="J23" s="40">
        <f>VLOOKUP(F23,'[3]נתונים נוספים'!$A$4:$D$9,VLOOKUP(AverageIf!C23,'[3]נתונים נוספים'!$F$4:$G$6,2,0),0)*AverageIf!$B$28*H23</f>
        <v>1266361.1974362698</v>
      </c>
      <c r="K23" s="242" t="str">
        <f t="shared" si="1"/>
        <v>ינואר</v>
      </c>
      <c r="L23" s="238"/>
      <c r="M23" s="168"/>
      <c r="N23" s="168"/>
      <c r="O23" s="168"/>
      <c r="P23" s="168"/>
      <c r="Q23" s="168"/>
      <c r="R23" s="168"/>
      <c r="S23" s="168"/>
      <c r="T23" s="168"/>
      <c r="U23" s="168"/>
      <c r="V23" s="168"/>
      <c r="W23" s="168"/>
      <c r="X23" s="168"/>
      <c r="Y23" s="168"/>
      <c r="Z23" s="168"/>
      <c r="AA23" s="168"/>
      <c r="AB23" s="168"/>
      <c r="AC23" s="168"/>
      <c r="AD23" s="168"/>
      <c r="AE23" s="168"/>
      <c r="AF23" s="168"/>
      <c r="AG23" s="168"/>
      <c r="AH23" s="168"/>
    </row>
    <row r="24" spans="1:34" ht="14.4" x14ac:dyDescent="0.3">
      <c r="A24" s="35">
        <v>1877</v>
      </c>
      <c r="B24" s="35" t="s">
        <v>31</v>
      </c>
      <c r="C24" s="35" t="s">
        <v>19</v>
      </c>
      <c r="D24" s="36">
        <v>43140</v>
      </c>
      <c r="E24" s="37">
        <v>25719</v>
      </c>
      <c r="F24" s="35">
        <v>12</v>
      </c>
      <c r="G24" s="38">
        <v>5.7999999999999996E-3</v>
      </c>
      <c r="H24" s="39">
        <v>186489.11906743521</v>
      </c>
      <c r="I24" s="40">
        <f t="shared" si="0"/>
        <v>495496.72236821667</v>
      </c>
      <c r="J24" s="40">
        <f>VLOOKUP(F24,'[3]נתונים נוספים'!$A$4:$D$9,VLOOKUP(AverageIf!C24,'[3]נתונים נוספים'!$F$4:$G$6,2,0),0)*AverageIf!$B$28*H24</f>
        <v>132966.74189508133</v>
      </c>
      <c r="K24" s="242" t="str">
        <f t="shared" si="1"/>
        <v>פברואר</v>
      </c>
      <c r="L24" s="238"/>
      <c r="M24" s="168"/>
      <c r="N24" s="168"/>
      <c r="O24" s="168"/>
      <c r="P24" s="168"/>
      <c r="Q24" s="168"/>
      <c r="R24" s="168"/>
      <c r="S24" s="168"/>
      <c r="T24" s="168"/>
      <c r="U24" s="168"/>
      <c r="V24" s="168"/>
      <c r="W24" s="168"/>
      <c r="X24" s="168"/>
      <c r="Y24" s="168"/>
      <c r="Z24" s="168"/>
      <c r="AA24" s="168"/>
      <c r="AB24" s="168"/>
      <c r="AC24" s="168"/>
      <c r="AD24" s="168"/>
      <c r="AE24" s="168"/>
      <c r="AF24" s="168"/>
      <c r="AG24" s="168"/>
      <c r="AH24" s="168"/>
    </row>
    <row r="25" spans="1:34" ht="14.4" x14ac:dyDescent="0.3">
      <c r="A25" s="35">
        <v>1878</v>
      </c>
      <c r="B25" s="35" t="s">
        <v>32</v>
      </c>
      <c r="C25" s="35" t="s">
        <v>9</v>
      </c>
      <c r="D25" s="36">
        <v>42629</v>
      </c>
      <c r="E25" s="37">
        <v>215746</v>
      </c>
      <c r="F25" s="35">
        <v>14</v>
      </c>
      <c r="G25" s="38">
        <v>8.0000000000000004E-4</v>
      </c>
      <c r="H25" s="39">
        <v>1094342.8807251898</v>
      </c>
      <c r="I25" s="40">
        <f t="shared" si="0"/>
        <v>2721471.4099838901</v>
      </c>
      <c r="J25" s="40">
        <f>VLOOKUP(F25,'[3]נתונים נוספים'!$A$4:$D$9,VLOOKUP(AverageIf!C25,'[3]נתונים נוספים'!$F$4:$G$6,2,0),0)*AverageIf!$B$28*H25</f>
        <v>542794.06883969426</v>
      </c>
      <c r="K25" s="242" t="str">
        <f t="shared" si="1"/>
        <v>ספטמבר</v>
      </c>
      <c r="L25" s="238"/>
      <c r="M25" s="168"/>
      <c r="N25" s="168"/>
      <c r="O25" s="168"/>
      <c r="P25" s="168"/>
      <c r="Q25" s="168"/>
      <c r="R25" s="168"/>
      <c r="S25" s="168"/>
      <c r="T25" s="168"/>
      <c r="U25" s="168"/>
      <c r="V25" s="168"/>
      <c r="W25" s="168"/>
      <c r="X25" s="168"/>
      <c r="Y25" s="168"/>
      <c r="Z25" s="168"/>
      <c r="AA25" s="168"/>
      <c r="AB25" s="168"/>
      <c r="AC25" s="168"/>
      <c r="AD25" s="168"/>
      <c r="AE25" s="168"/>
      <c r="AF25" s="168"/>
      <c r="AG25" s="168"/>
      <c r="AH25" s="168"/>
    </row>
    <row r="26" spans="1:34" ht="14.4" x14ac:dyDescent="0.3">
      <c r="A26" s="35">
        <v>1879</v>
      </c>
      <c r="B26" s="35" t="s">
        <v>33</v>
      </c>
      <c r="C26" s="35" t="s">
        <v>19</v>
      </c>
      <c r="D26" s="36">
        <v>40875</v>
      </c>
      <c r="E26" s="37">
        <v>131191</v>
      </c>
      <c r="F26" s="35">
        <v>10</v>
      </c>
      <c r="G26" s="38">
        <v>6.0000000000000001E-3</v>
      </c>
      <c r="H26" s="39">
        <v>203520.29998243746</v>
      </c>
      <c r="I26" s="40">
        <f t="shared" si="0"/>
        <v>222875.50496588278</v>
      </c>
      <c r="J26" s="40">
        <f>VLOOKUP(F26,'[3]נתונים נוספים'!$A$4:$D$9,VLOOKUP(AverageIf!C26,'[3]נתונים נוספים'!$F$4:$G$6,2,0),0)*AverageIf!$B$28*H26</f>
        <v>63091.292994555624</v>
      </c>
      <c r="K26" s="239" t="str">
        <f t="shared" si="1"/>
        <v>נובמבר</v>
      </c>
      <c r="L26" s="238"/>
      <c r="M26" s="168"/>
      <c r="N26" s="168"/>
      <c r="O26" s="168"/>
      <c r="P26" s="168"/>
      <c r="Q26" s="168"/>
      <c r="R26" s="168"/>
      <c r="S26" s="168"/>
      <c r="T26" s="168"/>
      <c r="U26" s="168"/>
      <c r="V26" s="168"/>
      <c r="W26" s="168"/>
      <c r="X26" s="168"/>
      <c r="Y26" s="168"/>
      <c r="Z26" s="168"/>
      <c r="AA26" s="168"/>
      <c r="AB26" s="168"/>
      <c r="AC26" s="168"/>
      <c r="AD26" s="168"/>
      <c r="AE26" s="168"/>
      <c r="AF26" s="168"/>
      <c r="AG26" s="168"/>
      <c r="AH26" s="168"/>
    </row>
    <row r="27" spans="1:34" ht="14.4" thickBot="1" x14ac:dyDescent="0.3">
      <c r="N27" s="168"/>
      <c r="O27" s="168"/>
      <c r="P27" s="168"/>
      <c r="Q27" s="168"/>
      <c r="R27" s="168"/>
      <c r="S27" s="168"/>
      <c r="T27" s="168"/>
      <c r="U27" s="168"/>
      <c r="V27" s="168"/>
      <c r="W27" s="168"/>
      <c r="X27" s="168"/>
      <c r="Y27" s="168"/>
      <c r="Z27" s="168"/>
      <c r="AA27" s="168"/>
      <c r="AB27" s="168"/>
      <c r="AC27" s="168"/>
      <c r="AD27" s="168"/>
      <c r="AE27" s="168"/>
      <c r="AF27" s="168"/>
      <c r="AG27" s="168"/>
      <c r="AH27" s="168"/>
    </row>
    <row r="28" spans="1:34" ht="14.4" thickBot="1" x14ac:dyDescent="0.3">
      <c r="A28" s="43"/>
      <c r="B28" s="44">
        <v>3.1</v>
      </c>
      <c r="L28" s="168"/>
      <c r="M28" s="168"/>
      <c r="N28" s="168"/>
      <c r="O28" s="168"/>
      <c r="P28" s="237"/>
      <c r="Q28" s="168"/>
      <c r="R28" s="168"/>
      <c r="S28" s="168"/>
      <c r="T28" s="168"/>
      <c r="U28" s="168"/>
      <c r="V28" s="168"/>
      <c r="W28" s="168"/>
      <c r="X28" s="168"/>
      <c r="Y28" s="168"/>
      <c r="Z28" s="168"/>
      <c r="AA28" s="168"/>
      <c r="AB28" s="168"/>
      <c r="AC28" s="168"/>
      <c r="AD28" s="168"/>
      <c r="AE28" s="168"/>
      <c r="AF28" s="168"/>
      <c r="AG28" s="168"/>
      <c r="AH28" s="168"/>
    </row>
    <row r="29" spans="1:34" ht="27.6" x14ac:dyDescent="0.45">
      <c r="H29" s="41" t="s">
        <v>146</v>
      </c>
      <c r="L29" s="168"/>
      <c r="M29" s="259"/>
      <c r="N29" s="260" t="s">
        <v>358</v>
      </c>
      <c r="O29" s="260"/>
      <c r="P29" s="260"/>
      <c r="Q29" s="260"/>
      <c r="R29" s="260"/>
      <c r="S29" s="260"/>
      <c r="T29" s="260"/>
      <c r="U29" s="253"/>
      <c r="V29" s="253"/>
      <c r="W29" s="253"/>
      <c r="X29" s="253"/>
      <c r="Y29" s="253"/>
      <c r="Z29" s="253"/>
      <c r="AA29" s="253"/>
      <c r="AB29" s="261"/>
      <c r="AC29" s="168"/>
      <c r="AD29" s="168"/>
      <c r="AE29" s="168"/>
      <c r="AF29" s="168"/>
      <c r="AG29" s="168"/>
      <c r="AH29" s="168"/>
    </row>
    <row r="30" spans="1:34" ht="27.6" x14ac:dyDescent="0.45">
      <c r="L30" s="168"/>
      <c r="M30" s="262">
        <v>1</v>
      </c>
      <c r="N30" s="334" t="s">
        <v>370</v>
      </c>
      <c r="O30" s="263"/>
      <c r="P30" s="263"/>
      <c r="Q30" s="263"/>
      <c r="R30" s="263"/>
      <c r="S30" s="263"/>
      <c r="T30" s="263"/>
      <c r="U30" s="264"/>
      <c r="V30" s="264"/>
      <c r="W30" s="264"/>
      <c r="X30" s="264"/>
      <c r="Y30" s="264"/>
      <c r="Z30" s="264"/>
      <c r="AA30" s="264"/>
      <c r="AB30" s="265"/>
      <c r="AC30" s="168"/>
      <c r="AD30" s="168"/>
      <c r="AE30" s="168"/>
      <c r="AF30" s="168"/>
      <c r="AG30" s="168"/>
      <c r="AH30" s="168"/>
    </row>
    <row r="31" spans="1:34" ht="27.6" x14ac:dyDescent="0.45">
      <c r="L31" s="168"/>
      <c r="M31" s="262"/>
      <c r="N31" s="334" t="s">
        <v>369</v>
      </c>
      <c r="O31" s="263"/>
      <c r="P31" s="263"/>
      <c r="Q31" s="263"/>
      <c r="R31" s="263"/>
      <c r="S31" s="263"/>
      <c r="T31" s="263"/>
      <c r="U31" s="264"/>
      <c r="V31" s="264"/>
      <c r="W31" s="264"/>
      <c r="X31" s="264"/>
      <c r="Y31" s="264"/>
      <c r="Z31" s="264"/>
      <c r="AA31" s="264"/>
      <c r="AB31" s="265"/>
      <c r="AC31" s="168"/>
      <c r="AD31" s="168"/>
      <c r="AE31" s="168"/>
      <c r="AF31" s="168"/>
      <c r="AG31" s="168"/>
      <c r="AH31" s="168"/>
    </row>
    <row r="32" spans="1:34" ht="27.6" x14ac:dyDescent="0.45">
      <c r="B32" s="45" t="str">
        <f>INDEX(B2:B26,MATCH(MAX(H2:H26),H2:H26,0),1)</f>
        <v>LB</v>
      </c>
      <c r="C32" s="45">
        <f>VLOOKUP(MAX(H2:H26),H1:N26,7,FALSE)</f>
        <v>0</v>
      </c>
      <c r="L32" s="240"/>
      <c r="M32" s="262"/>
      <c r="N32" s="263" t="s">
        <v>361</v>
      </c>
      <c r="O32" s="263"/>
      <c r="P32" s="263"/>
      <c r="Q32" s="263"/>
      <c r="R32" s="263"/>
      <c r="S32" s="263"/>
      <c r="T32" s="263"/>
      <c r="U32" s="264"/>
      <c r="V32" s="264"/>
      <c r="W32" s="264"/>
      <c r="X32" s="264"/>
      <c r="Y32" s="264"/>
      <c r="Z32" s="264"/>
      <c r="AA32" s="264"/>
      <c r="AB32" s="265"/>
      <c r="AC32" s="168"/>
      <c r="AD32" s="168"/>
      <c r="AE32" s="168"/>
      <c r="AF32" s="168"/>
      <c r="AG32" s="168"/>
      <c r="AH32" s="168"/>
    </row>
    <row r="33" spans="2:34" ht="27.6" x14ac:dyDescent="0.45">
      <c r="L33" s="241"/>
      <c r="M33" s="262"/>
      <c r="N33" s="263" t="s">
        <v>360</v>
      </c>
      <c r="O33" s="263"/>
      <c r="P33" s="263"/>
      <c r="Q33" s="263"/>
      <c r="R33" s="263"/>
      <c r="S33" s="263"/>
      <c r="T33" s="263"/>
      <c r="U33" s="264"/>
      <c r="V33" s="264"/>
      <c r="W33" s="264"/>
      <c r="X33" s="264"/>
      <c r="Y33" s="264"/>
      <c r="Z33" s="264"/>
      <c r="AA33" s="264"/>
      <c r="AB33" s="265"/>
      <c r="AC33" s="168"/>
      <c r="AD33" s="168"/>
      <c r="AE33" s="168"/>
      <c r="AF33" s="168"/>
      <c r="AG33" s="168"/>
      <c r="AH33" s="168"/>
    </row>
    <row r="34" spans="2:34" ht="27.6" x14ac:dyDescent="0.45">
      <c r="L34" s="168"/>
      <c r="M34" s="262"/>
      <c r="N34" s="263"/>
      <c r="O34" s="263"/>
      <c r="P34" s="263"/>
      <c r="Q34" s="263"/>
      <c r="R34" s="263"/>
      <c r="S34" s="263"/>
      <c r="T34" s="263"/>
      <c r="U34" s="264"/>
      <c r="V34" s="264"/>
      <c r="W34" s="264"/>
      <c r="X34" s="264"/>
      <c r="Y34" s="264"/>
      <c r="Z34" s="264"/>
      <c r="AA34" s="264"/>
      <c r="AB34" s="265"/>
    </row>
    <row r="35" spans="2:34" ht="27.6" x14ac:dyDescent="0.45">
      <c r="L35" s="168"/>
      <c r="M35" s="266">
        <v>2</v>
      </c>
      <c r="N35" s="267" t="s">
        <v>357</v>
      </c>
      <c r="O35" s="267"/>
      <c r="P35" s="267"/>
      <c r="Q35" s="267"/>
      <c r="R35" s="267"/>
      <c r="S35" s="267"/>
      <c r="T35" s="267"/>
      <c r="U35" s="268"/>
      <c r="V35" s="268"/>
      <c r="W35" s="268"/>
      <c r="X35" s="268"/>
      <c r="Y35" s="268"/>
      <c r="Z35" s="268"/>
      <c r="AA35" s="268"/>
      <c r="AB35" s="269"/>
    </row>
    <row r="36" spans="2:34" x14ac:dyDescent="0.25">
      <c r="B36" s="41">
        <f t="array" ref="B36:B40">FREQUENCY(E2:E26,A36:A39)</f>
        <v>0</v>
      </c>
      <c r="L36" s="168"/>
      <c r="M36" s="168"/>
      <c r="N36" s="168"/>
      <c r="O36" s="168"/>
      <c r="P36" s="168"/>
      <c r="Q36" s="168"/>
      <c r="R36" s="168"/>
      <c r="S36" s="168"/>
      <c r="T36" s="168"/>
      <c r="U36" s="168"/>
      <c r="V36" s="168"/>
      <c r="W36" s="168"/>
      <c r="X36" s="168"/>
      <c r="Y36" s="168"/>
      <c r="Z36" s="168"/>
      <c r="AA36" s="168"/>
      <c r="AB36" s="168"/>
      <c r="AC36" s="168"/>
      <c r="AD36" s="168"/>
      <c r="AE36" s="168"/>
    </row>
    <row r="37" spans="2:34" x14ac:dyDescent="0.25">
      <c r="B37" s="41">
        <v>25</v>
      </c>
      <c r="L37" s="168"/>
      <c r="M37" s="168"/>
      <c r="N37" s="168"/>
      <c r="O37" s="168"/>
      <c r="P37" s="168"/>
      <c r="Q37" s="168"/>
      <c r="R37" s="168"/>
      <c r="S37" s="168"/>
      <c r="T37" s="168"/>
      <c r="U37" s="168"/>
      <c r="V37" s="168"/>
      <c r="W37" s="168"/>
      <c r="X37" s="168"/>
      <c r="Y37" s="168"/>
      <c r="Z37" s="168"/>
      <c r="AA37" s="168"/>
      <c r="AB37" s="168"/>
      <c r="AC37" s="168"/>
      <c r="AD37" s="168"/>
      <c r="AE37" s="168"/>
    </row>
    <row r="38" spans="2:34" ht="22.8" x14ac:dyDescent="0.4">
      <c r="B38" s="41" t="e">
        <v>#N/A</v>
      </c>
      <c r="L38" s="168"/>
      <c r="M38" s="168"/>
      <c r="N38" s="276" t="s">
        <v>371</v>
      </c>
      <c r="O38" s="168"/>
      <c r="P38" s="168"/>
      <c r="Q38" s="168"/>
      <c r="R38" s="168"/>
      <c r="S38" s="168"/>
      <c r="T38" s="168"/>
      <c r="U38" s="168"/>
      <c r="V38" s="168"/>
      <c r="W38" s="168"/>
      <c r="X38" s="168"/>
      <c r="Y38" s="168"/>
      <c r="Z38" s="168"/>
      <c r="AA38" s="168"/>
      <c r="AB38" s="168"/>
      <c r="AC38" s="168"/>
      <c r="AD38" s="168"/>
      <c r="AE38" s="168"/>
    </row>
    <row r="39" spans="2:34" x14ac:dyDescent="0.25">
      <c r="B39" s="41" t="e">
        <v>#N/A</v>
      </c>
      <c r="L39" s="168"/>
      <c r="M39" s="168"/>
      <c r="N39" s="168"/>
      <c r="O39" s="168"/>
      <c r="P39" s="168"/>
      <c r="Q39" s="168"/>
      <c r="R39" s="168"/>
      <c r="S39" s="168"/>
      <c r="T39" s="168"/>
      <c r="U39" s="168"/>
      <c r="V39" s="168"/>
      <c r="W39" s="168"/>
      <c r="X39" s="168"/>
      <c r="Y39" s="168"/>
      <c r="Z39" s="168"/>
      <c r="AA39" s="168"/>
      <c r="AB39" s="168"/>
      <c r="AC39" s="168"/>
      <c r="AD39" s="168"/>
      <c r="AE39" s="168"/>
    </row>
    <row r="40" spans="2:34" x14ac:dyDescent="0.25">
      <c r="B40" s="41" t="e">
        <v>#N/A</v>
      </c>
      <c r="L40" s="168"/>
      <c r="M40" s="168"/>
      <c r="N40" s="168"/>
      <c r="O40" s="168"/>
      <c r="P40" s="168"/>
      <c r="Q40" s="168"/>
      <c r="R40" s="168"/>
      <c r="S40" s="168"/>
      <c r="T40" s="168"/>
      <c r="U40" s="168"/>
      <c r="V40" s="168"/>
      <c r="W40" s="168"/>
      <c r="X40" s="168"/>
      <c r="Y40" s="168"/>
      <c r="Z40" s="168"/>
      <c r="AA40" s="168"/>
      <c r="AB40" s="168"/>
      <c r="AC40" s="168"/>
      <c r="AD40" s="168"/>
      <c r="AE40" s="168"/>
    </row>
    <row r="41" spans="2:34" x14ac:dyDescent="0.25">
      <c r="L41" s="168"/>
      <c r="M41" s="168"/>
      <c r="N41" s="168"/>
      <c r="O41" s="168"/>
      <c r="P41" s="168"/>
      <c r="Q41" s="168"/>
      <c r="R41" s="168"/>
      <c r="S41" s="168"/>
      <c r="T41" s="168"/>
      <c r="U41" s="168"/>
      <c r="V41" s="168"/>
      <c r="W41" s="168"/>
      <c r="X41" s="168"/>
      <c r="Y41" s="168"/>
      <c r="Z41" s="168"/>
      <c r="AA41" s="168"/>
      <c r="AB41" s="168"/>
      <c r="AC41" s="168"/>
      <c r="AD41" s="168"/>
      <c r="AE41" s="168"/>
    </row>
    <row r="42" spans="2:34" x14ac:dyDescent="0.25">
      <c r="B42" s="50" t="e">
        <f>B40/SUM(B36:B40)</f>
        <v>#N/A</v>
      </c>
      <c r="L42" s="168"/>
      <c r="M42" s="168"/>
      <c r="N42" s="168"/>
      <c r="O42" s="168"/>
      <c r="P42" s="168"/>
      <c r="Q42" s="168"/>
      <c r="R42" s="168"/>
      <c r="S42" s="168"/>
      <c r="T42" s="168"/>
      <c r="U42" s="168"/>
      <c r="V42" s="168"/>
      <c r="W42" s="168"/>
      <c r="X42" s="168"/>
      <c r="Y42" s="168"/>
      <c r="Z42" s="168"/>
      <c r="AA42" s="168"/>
      <c r="AB42" s="168"/>
      <c r="AC42" s="168"/>
      <c r="AD42" s="168"/>
      <c r="AE42" s="168"/>
    </row>
    <row r="43" spans="2:34" x14ac:dyDescent="0.25">
      <c r="L43" s="168"/>
      <c r="M43" s="168"/>
      <c r="N43" s="168"/>
      <c r="O43" s="168"/>
      <c r="P43" s="168"/>
      <c r="Q43" s="168"/>
      <c r="R43" s="168"/>
      <c r="S43" s="168"/>
      <c r="T43" s="168"/>
      <c r="U43" s="168"/>
      <c r="V43" s="168"/>
      <c r="W43" s="168"/>
      <c r="X43" s="168"/>
      <c r="Y43" s="168"/>
      <c r="Z43" s="168"/>
      <c r="AA43" s="168"/>
      <c r="AB43" s="168"/>
      <c r="AC43" s="168"/>
      <c r="AD43" s="168"/>
      <c r="AE43" s="168"/>
    </row>
    <row r="44" spans="2:34" x14ac:dyDescent="0.25">
      <c r="L44" s="168"/>
      <c r="M44" s="168"/>
      <c r="N44" s="168"/>
      <c r="O44" s="168"/>
      <c r="P44" s="168"/>
      <c r="Q44" s="168"/>
      <c r="R44" s="168"/>
      <c r="S44" s="168"/>
      <c r="T44" s="168"/>
      <c r="U44" s="168"/>
      <c r="V44" s="168"/>
      <c r="W44" s="168"/>
      <c r="X44" s="168"/>
      <c r="Y44" s="168"/>
      <c r="Z44" s="168"/>
      <c r="AA44" s="168"/>
      <c r="AB44" s="168"/>
      <c r="AC44" s="168"/>
      <c r="AD44" s="168"/>
      <c r="AE44" s="168"/>
    </row>
    <row r="45" spans="2:34" x14ac:dyDescent="0.25">
      <c r="L45" s="168"/>
      <c r="M45" s="168"/>
      <c r="N45" s="168"/>
      <c r="O45" s="168"/>
      <c r="P45" s="168"/>
      <c r="Q45" s="168"/>
      <c r="R45" s="168"/>
      <c r="S45" s="168"/>
      <c r="T45" s="168"/>
      <c r="U45" s="168"/>
      <c r="V45" s="168"/>
      <c r="W45" s="168"/>
      <c r="X45" s="168"/>
      <c r="Y45" s="168"/>
      <c r="Z45" s="168"/>
      <c r="AA45" s="168"/>
      <c r="AB45" s="168"/>
      <c r="AC45" s="168"/>
      <c r="AD45" s="168"/>
      <c r="AE45" s="168"/>
    </row>
    <row r="46" spans="2:34" x14ac:dyDescent="0.25">
      <c r="L46" s="168"/>
      <c r="M46" s="168"/>
      <c r="N46" s="168"/>
      <c r="O46" s="168"/>
      <c r="P46" s="168"/>
      <c r="Q46" s="168"/>
      <c r="R46" s="168"/>
      <c r="S46" s="168"/>
      <c r="T46" s="168"/>
      <c r="U46" s="168"/>
      <c r="V46" s="168"/>
      <c r="W46" s="168"/>
      <c r="X46" s="168"/>
      <c r="Y46" s="168"/>
      <c r="Z46" s="168"/>
      <c r="AA46" s="168"/>
      <c r="AB46" s="168"/>
      <c r="AC46" s="168"/>
      <c r="AD46" s="168"/>
      <c r="AE46" s="168"/>
    </row>
    <row r="47" spans="2:34" x14ac:dyDescent="0.25">
      <c r="L47" s="168"/>
      <c r="M47" s="275"/>
      <c r="N47" s="168"/>
      <c r="O47" s="168"/>
      <c r="P47" s="168"/>
      <c r="Q47" s="168"/>
      <c r="R47" s="168"/>
      <c r="S47" s="168"/>
      <c r="T47" s="168"/>
      <c r="U47" s="168"/>
      <c r="V47" s="168"/>
      <c r="W47" s="168"/>
      <c r="X47" s="168"/>
      <c r="Y47" s="168"/>
      <c r="Z47" s="168"/>
      <c r="AA47" s="168"/>
      <c r="AB47" s="168"/>
      <c r="AC47" s="168"/>
      <c r="AD47" s="168"/>
      <c r="AE47" s="168"/>
    </row>
    <row r="48" spans="2:34" x14ac:dyDescent="0.25">
      <c r="L48" s="168"/>
      <c r="M48" s="168"/>
      <c r="N48" s="168"/>
      <c r="O48" s="168"/>
      <c r="P48" s="168"/>
      <c r="Q48" s="168"/>
      <c r="R48" s="168"/>
      <c r="S48" s="168"/>
      <c r="T48" s="168"/>
      <c r="U48" s="168"/>
      <c r="V48" s="168"/>
      <c r="W48" s="168"/>
      <c r="X48" s="168"/>
      <c r="Y48" s="168"/>
      <c r="Z48" s="168"/>
      <c r="AA48" s="168"/>
      <c r="AB48" s="168"/>
      <c r="AC48" s="168"/>
      <c r="AD48" s="168"/>
      <c r="AE48" s="168"/>
    </row>
    <row r="49" spans="12:31" ht="22.8" x14ac:dyDescent="0.4">
      <c r="L49" s="168"/>
      <c r="M49" s="168"/>
      <c r="N49" s="276"/>
      <c r="O49" s="276"/>
      <c r="P49" s="168"/>
      <c r="Q49" s="168"/>
      <c r="R49" s="168"/>
      <c r="S49" s="168"/>
      <c r="T49" s="168"/>
      <c r="U49" s="168"/>
      <c r="V49" s="168"/>
      <c r="W49" s="168"/>
      <c r="X49" s="168"/>
      <c r="Y49" s="168"/>
      <c r="Z49" s="168"/>
      <c r="AA49" s="168"/>
      <c r="AB49" s="168"/>
      <c r="AC49" s="168"/>
      <c r="AD49" s="168"/>
      <c r="AE49" s="168"/>
    </row>
  </sheetData>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54A49-0AB8-4401-B338-B8D488FAC77B}">
  <dimension ref="A1:R36"/>
  <sheetViews>
    <sheetView rightToLeft="1" zoomScale="99" zoomScaleNormal="99" workbookViewId="0">
      <selection activeCell="D29" sqref="D29"/>
    </sheetView>
  </sheetViews>
  <sheetFormatPr defaultRowHeight="13.2" x14ac:dyDescent="0.25"/>
  <cols>
    <col min="1" max="1" width="8.796875" style="103"/>
    <col min="2" max="2" width="9.5" style="103" bestFit="1" customWidth="1"/>
    <col min="3" max="3" width="10.296875" style="103" bestFit="1" customWidth="1"/>
    <col min="4" max="4" width="8.59765625" style="103" bestFit="1" customWidth="1"/>
    <col min="5" max="5" width="9.5" style="103" bestFit="1" customWidth="1"/>
    <col min="6" max="10" width="8.796875" style="103"/>
    <col min="11" max="12" width="9.09765625" style="103" bestFit="1" customWidth="1"/>
    <col min="13" max="257" width="8.796875" style="103"/>
    <col min="258" max="258" width="9.5" style="103" bestFit="1" customWidth="1"/>
    <col min="259" max="259" width="10.296875" style="103" bestFit="1" customWidth="1"/>
    <col min="260" max="260" width="8.59765625" style="103" bestFit="1" customWidth="1"/>
    <col min="261" max="261" width="9.5" style="103" bestFit="1" customWidth="1"/>
    <col min="262" max="266" width="8.796875" style="103"/>
    <col min="267" max="268" width="9.09765625" style="103" bestFit="1" customWidth="1"/>
    <col min="269" max="513" width="8.796875" style="103"/>
    <col min="514" max="514" width="9.5" style="103" bestFit="1" customWidth="1"/>
    <col min="515" max="515" width="10.296875" style="103" bestFit="1" customWidth="1"/>
    <col min="516" max="516" width="8.59765625" style="103" bestFit="1" customWidth="1"/>
    <col min="517" max="517" width="9.5" style="103" bestFit="1" customWidth="1"/>
    <col min="518" max="522" width="8.796875" style="103"/>
    <col min="523" max="524" width="9.09765625" style="103" bestFit="1" customWidth="1"/>
    <col min="525" max="769" width="8.796875" style="103"/>
    <col min="770" max="770" width="9.5" style="103" bestFit="1" customWidth="1"/>
    <col min="771" max="771" width="10.296875" style="103" bestFit="1" customWidth="1"/>
    <col min="772" max="772" width="8.59765625" style="103" bestFit="1" customWidth="1"/>
    <col min="773" max="773" width="9.5" style="103" bestFit="1" customWidth="1"/>
    <col min="774" max="778" width="8.796875" style="103"/>
    <col min="779" max="780" width="9.09765625" style="103" bestFit="1" customWidth="1"/>
    <col min="781" max="1025" width="8.796875" style="103"/>
    <col min="1026" max="1026" width="9.5" style="103" bestFit="1" customWidth="1"/>
    <col min="1027" max="1027" width="10.296875" style="103" bestFit="1" customWidth="1"/>
    <col min="1028" max="1028" width="8.59765625" style="103" bestFit="1" customWidth="1"/>
    <col min="1029" max="1029" width="9.5" style="103" bestFit="1" customWidth="1"/>
    <col min="1030" max="1034" width="8.796875" style="103"/>
    <col min="1035" max="1036" width="9.09765625" style="103" bestFit="1" customWidth="1"/>
    <col min="1037" max="1281" width="8.796875" style="103"/>
    <col min="1282" max="1282" width="9.5" style="103" bestFit="1" customWidth="1"/>
    <col min="1283" max="1283" width="10.296875" style="103" bestFit="1" customWidth="1"/>
    <col min="1284" max="1284" width="8.59765625" style="103" bestFit="1" customWidth="1"/>
    <col min="1285" max="1285" width="9.5" style="103" bestFit="1" customWidth="1"/>
    <col min="1286" max="1290" width="8.796875" style="103"/>
    <col min="1291" max="1292" width="9.09765625" style="103" bestFit="1" customWidth="1"/>
    <col min="1293" max="1537" width="8.796875" style="103"/>
    <col min="1538" max="1538" width="9.5" style="103" bestFit="1" customWidth="1"/>
    <col min="1539" max="1539" width="10.296875" style="103" bestFit="1" customWidth="1"/>
    <col min="1540" max="1540" width="8.59765625" style="103" bestFit="1" customWidth="1"/>
    <col min="1541" max="1541" width="9.5" style="103" bestFit="1" customWidth="1"/>
    <col min="1542" max="1546" width="8.796875" style="103"/>
    <col min="1547" max="1548" width="9.09765625" style="103" bestFit="1" customWidth="1"/>
    <col min="1549" max="1793" width="8.796875" style="103"/>
    <col min="1794" max="1794" width="9.5" style="103" bestFit="1" customWidth="1"/>
    <col min="1795" max="1795" width="10.296875" style="103" bestFit="1" customWidth="1"/>
    <col min="1796" max="1796" width="8.59765625" style="103" bestFit="1" customWidth="1"/>
    <col min="1797" max="1797" width="9.5" style="103" bestFit="1" customWidth="1"/>
    <col min="1798" max="1802" width="8.796875" style="103"/>
    <col min="1803" max="1804" width="9.09765625" style="103" bestFit="1" customWidth="1"/>
    <col min="1805" max="2049" width="8.796875" style="103"/>
    <col min="2050" max="2050" width="9.5" style="103" bestFit="1" customWidth="1"/>
    <col min="2051" max="2051" width="10.296875" style="103" bestFit="1" customWidth="1"/>
    <col min="2052" max="2052" width="8.59765625" style="103" bestFit="1" customWidth="1"/>
    <col min="2053" max="2053" width="9.5" style="103" bestFit="1" customWidth="1"/>
    <col min="2054" max="2058" width="8.796875" style="103"/>
    <col min="2059" max="2060" width="9.09765625" style="103" bestFit="1" customWidth="1"/>
    <col min="2061" max="2305" width="8.796875" style="103"/>
    <col min="2306" max="2306" width="9.5" style="103" bestFit="1" customWidth="1"/>
    <col min="2307" max="2307" width="10.296875" style="103" bestFit="1" customWidth="1"/>
    <col min="2308" max="2308" width="8.59765625" style="103" bestFit="1" customWidth="1"/>
    <col min="2309" max="2309" width="9.5" style="103" bestFit="1" customWidth="1"/>
    <col min="2310" max="2314" width="8.796875" style="103"/>
    <col min="2315" max="2316" width="9.09765625" style="103" bestFit="1" customWidth="1"/>
    <col min="2317" max="2561" width="8.796875" style="103"/>
    <col min="2562" max="2562" width="9.5" style="103" bestFit="1" customWidth="1"/>
    <col min="2563" max="2563" width="10.296875" style="103" bestFit="1" customWidth="1"/>
    <col min="2564" max="2564" width="8.59765625" style="103" bestFit="1" customWidth="1"/>
    <col min="2565" max="2565" width="9.5" style="103" bestFit="1" customWidth="1"/>
    <col min="2566" max="2570" width="8.796875" style="103"/>
    <col min="2571" max="2572" width="9.09765625" style="103" bestFit="1" customWidth="1"/>
    <col min="2573" max="2817" width="8.796875" style="103"/>
    <col min="2818" max="2818" width="9.5" style="103" bestFit="1" customWidth="1"/>
    <col min="2819" max="2819" width="10.296875" style="103" bestFit="1" customWidth="1"/>
    <col min="2820" max="2820" width="8.59765625" style="103" bestFit="1" customWidth="1"/>
    <col min="2821" max="2821" width="9.5" style="103" bestFit="1" customWidth="1"/>
    <col min="2822" max="2826" width="8.796875" style="103"/>
    <col min="2827" max="2828" width="9.09765625" style="103" bestFit="1" customWidth="1"/>
    <col min="2829" max="3073" width="8.796875" style="103"/>
    <col min="3074" max="3074" width="9.5" style="103" bestFit="1" customWidth="1"/>
    <col min="3075" max="3075" width="10.296875" style="103" bestFit="1" customWidth="1"/>
    <col min="3076" max="3076" width="8.59765625" style="103" bestFit="1" customWidth="1"/>
    <col min="3077" max="3077" width="9.5" style="103" bestFit="1" customWidth="1"/>
    <col min="3078" max="3082" width="8.796875" style="103"/>
    <col min="3083" max="3084" width="9.09765625" style="103" bestFit="1" customWidth="1"/>
    <col min="3085" max="3329" width="8.796875" style="103"/>
    <col min="3330" max="3330" width="9.5" style="103" bestFit="1" customWidth="1"/>
    <col min="3331" max="3331" width="10.296875" style="103" bestFit="1" customWidth="1"/>
    <col min="3332" max="3332" width="8.59765625" style="103" bestFit="1" customWidth="1"/>
    <col min="3333" max="3333" width="9.5" style="103" bestFit="1" customWidth="1"/>
    <col min="3334" max="3338" width="8.796875" style="103"/>
    <col min="3339" max="3340" width="9.09765625" style="103" bestFit="1" customWidth="1"/>
    <col min="3341" max="3585" width="8.796875" style="103"/>
    <col min="3586" max="3586" width="9.5" style="103" bestFit="1" customWidth="1"/>
    <col min="3587" max="3587" width="10.296875" style="103" bestFit="1" customWidth="1"/>
    <col min="3588" max="3588" width="8.59765625" style="103" bestFit="1" customWidth="1"/>
    <col min="3589" max="3589" width="9.5" style="103" bestFit="1" customWidth="1"/>
    <col min="3590" max="3594" width="8.796875" style="103"/>
    <col min="3595" max="3596" width="9.09765625" style="103" bestFit="1" customWidth="1"/>
    <col min="3597" max="3841" width="8.796875" style="103"/>
    <col min="3842" max="3842" width="9.5" style="103" bestFit="1" customWidth="1"/>
    <col min="3843" max="3843" width="10.296875" style="103" bestFit="1" customWidth="1"/>
    <col min="3844" max="3844" width="8.59765625" style="103" bestFit="1" customWidth="1"/>
    <col min="3845" max="3845" width="9.5" style="103" bestFit="1" customWidth="1"/>
    <col min="3846" max="3850" width="8.796875" style="103"/>
    <col min="3851" max="3852" width="9.09765625" style="103" bestFit="1" customWidth="1"/>
    <col min="3853" max="4097" width="8.796875" style="103"/>
    <col min="4098" max="4098" width="9.5" style="103" bestFit="1" customWidth="1"/>
    <col min="4099" max="4099" width="10.296875" style="103" bestFit="1" customWidth="1"/>
    <col min="4100" max="4100" width="8.59765625" style="103" bestFit="1" customWidth="1"/>
    <col min="4101" max="4101" width="9.5" style="103" bestFit="1" customWidth="1"/>
    <col min="4102" max="4106" width="8.796875" style="103"/>
    <col min="4107" max="4108" width="9.09765625" style="103" bestFit="1" customWidth="1"/>
    <col min="4109" max="4353" width="8.796875" style="103"/>
    <col min="4354" max="4354" width="9.5" style="103" bestFit="1" customWidth="1"/>
    <col min="4355" max="4355" width="10.296875" style="103" bestFit="1" customWidth="1"/>
    <col min="4356" max="4356" width="8.59765625" style="103" bestFit="1" customWidth="1"/>
    <col min="4357" max="4357" width="9.5" style="103" bestFit="1" customWidth="1"/>
    <col min="4358" max="4362" width="8.796875" style="103"/>
    <col min="4363" max="4364" width="9.09765625" style="103" bestFit="1" customWidth="1"/>
    <col min="4365" max="4609" width="8.796875" style="103"/>
    <col min="4610" max="4610" width="9.5" style="103" bestFit="1" customWidth="1"/>
    <col min="4611" max="4611" width="10.296875" style="103" bestFit="1" customWidth="1"/>
    <col min="4612" max="4612" width="8.59765625" style="103" bestFit="1" customWidth="1"/>
    <col min="4613" max="4613" width="9.5" style="103" bestFit="1" customWidth="1"/>
    <col min="4614" max="4618" width="8.796875" style="103"/>
    <col min="4619" max="4620" width="9.09765625" style="103" bestFit="1" customWidth="1"/>
    <col min="4621" max="4865" width="8.796875" style="103"/>
    <col min="4866" max="4866" width="9.5" style="103" bestFit="1" customWidth="1"/>
    <col min="4867" max="4867" width="10.296875" style="103" bestFit="1" customWidth="1"/>
    <col min="4868" max="4868" width="8.59765625" style="103" bestFit="1" customWidth="1"/>
    <col min="4869" max="4869" width="9.5" style="103" bestFit="1" customWidth="1"/>
    <col min="4870" max="4874" width="8.796875" style="103"/>
    <col min="4875" max="4876" width="9.09765625" style="103" bestFit="1" customWidth="1"/>
    <col min="4877" max="5121" width="8.796875" style="103"/>
    <col min="5122" max="5122" width="9.5" style="103" bestFit="1" customWidth="1"/>
    <col min="5123" max="5123" width="10.296875" style="103" bestFit="1" customWidth="1"/>
    <col min="5124" max="5124" width="8.59765625" style="103" bestFit="1" customWidth="1"/>
    <col min="5125" max="5125" width="9.5" style="103" bestFit="1" customWidth="1"/>
    <col min="5126" max="5130" width="8.796875" style="103"/>
    <col min="5131" max="5132" width="9.09765625" style="103" bestFit="1" customWidth="1"/>
    <col min="5133" max="5377" width="8.796875" style="103"/>
    <col min="5378" max="5378" width="9.5" style="103" bestFit="1" customWidth="1"/>
    <col min="5379" max="5379" width="10.296875" style="103" bestFit="1" customWidth="1"/>
    <col min="5380" max="5380" width="8.59765625" style="103" bestFit="1" customWidth="1"/>
    <col min="5381" max="5381" width="9.5" style="103" bestFit="1" customWidth="1"/>
    <col min="5382" max="5386" width="8.796875" style="103"/>
    <col min="5387" max="5388" width="9.09765625" style="103" bestFit="1" customWidth="1"/>
    <col min="5389" max="5633" width="8.796875" style="103"/>
    <col min="5634" max="5634" width="9.5" style="103" bestFit="1" customWidth="1"/>
    <col min="5635" max="5635" width="10.296875" style="103" bestFit="1" customWidth="1"/>
    <col min="5636" max="5636" width="8.59765625" style="103" bestFit="1" customWidth="1"/>
    <col min="5637" max="5637" width="9.5" style="103" bestFit="1" customWidth="1"/>
    <col min="5638" max="5642" width="8.796875" style="103"/>
    <col min="5643" max="5644" width="9.09765625" style="103" bestFit="1" customWidth="1"/>
    <col min="5645" max="5889" width="8.796875" style="103"/>
    <col min="5890" max="5890" width="9.5" style="103" bestFit="1" customWidth="1"/>
    <col min="5891" max="5891" width="10.296875" style="103" bestFit="1" customWidth="1"/>
    <col min="5892" max="5892" width="8.59765625" style="103" bestFit="1" customWidth="1"/>
    <col min="5893" max="5893" width="9.5" style="103" bestFit="1" customWidth="1"/>
    <col min="5894" max="5898" width="8.796875" style="103"/>
    <col min="5899" max="5900" width="9.09765625" style="103" bestFit="1" customWidth="1"/>
    <col min="5901" max="6145" width="8.796875" style="103"/>
    <col min="6146" max="6146" width="9.5" style="103" bestFit="1" customWidth="1"/>
    <col min="6147" max="6147" width="10.296875" style="103" bestFit="1" customWidth="1"/>
    <col min="6148" max="6148" width="8.59765625" style="103" bestFit="1" customWidth="1"/>
    <col min="6149" max="6149" width="9.5" style="103" bestFit="1" customWidth="1"/>
    <col min="6150" max="6154" width="8.796875" style="103"/>
    <col min="6155" max="6156" width="9.09765625" style="103" bestFit="1" customWidth="1"/>
    <col min="6157" max="6401" width="8.796875" style="103"/>
    <col min="6402" max="6402" width="9.5" style="103" bestFit="1" customWidth="1"/>
    <col min="6403" max="6403" width="10.296875" style="103" bestFit="1" customWidth="1"/>
    <col min="6404" max="6404" width="8.59765625" style="103" bestFit="1" customWidth="1"/>
    <col min="6405" max="6405" width="9.5" style="103" bestFit="1" customWidth="1"/>
    <col min="6406" max="6410" width="8.796875" style="103"/>
    <col min="6411" max="6412" width="9.09765625" style="103" bestFit="1" customWidth="1"/>
    <col min="6413" max="6657" width="8.796875" style="103"/>
    <col min="6658" max="6658" width="9.5" style="103" bestFit="1" customWidth="1"/>
    <col min="6659" max="6659" width="10.296875" style="103" bestFit="1" customWidth="1"/>
    <col min="6660" max="6660" width="8.59765625" style="103" bestFit="1" customWidth="1"/>
    <col min="6661" max="6661" width="9.5" style="103" bestFit="1" customWidth="1"/>
    <col min="6662" max="6666" width="8.796875" style="103"/>
    <col min="6667" max="6668" width="9.09765625" style="103" bestFit="1" customWidth="1"/>
    <col min="6669" max="6913" width="8.796875" style="103"/>
    <col min="6914" max="6914" width="9.5" style="103" bestFit="1" customWidth="1"/>
    <col min="6915" max="6915" width="10.296875" style="103" bestFit="1" customWidth="1"/>
    <col min="6916" max="6916" width="8.59765625" style="103" bestFit="1" customWidth="1"/>
    <col min="6917" max="6917" width="9.5" style="103" bestFit="1" customWidth="1"/>
    <col min="6918" max="6922" width="8.796875" style="103"/>
    <col min="6923" max="6924" width="9.09765625" style="103" bestFit="1" customWidth="1"/>
    <col min="6925" max="7169" width="8.796875" style="103"/>
    <col min="7170" max="7170" width="9.5" style="103" bestFit="1" customWidth="1"/>
    <col min="7171" max="7171" width="10.296875" style="103" bestFit="1" customWidth="1"/>
    <col min="7172" max="7172" width="8.59765625" style="103" bestFit="1" customWidth="1"/>
    <col min="7173" max="7173" width="9.5" style="103" bestFit="1" customWidth="1"/>
    <col min="7174" max="7178" width="8.796875" style="103"/>
    <col min="7179" max="7180" width="9.09765625" style="103" bestFit="1" customWidth="1"/>
    <col min="7181" max="7425" width="8.796875" style="103"/>
    <col min="7426" max="7426" width="9.5" style="103" bestFit="1" customWidth="1"/>
    <col min="7427" max="7427" width="10.296875" style="103" bestFit="1" customWidth="1"/>
    <col min="7428" max="7428" width="8.59765625" style="103" bestFit="1" customWidth="1"/>
    <col min="7429" max="7429" width="9.5" style="103" bestFit="1" customWidth="1"/>
    <col min="7430" max="7434" width="8.796875" style="103"/>
    <col min="7435" max="7436" width="9.09765625" style="103" bestFit="1" customWidth="1"/>
    <col min="7437" max="7681" width="8.796875" style="103"/>
    <col min="7682" max="7682" width="9.5" style="103" bestFit="1" customWidth="1"/>
    <col min="7683" max="7683" width="10.296875" style="103" bestFit="1" customWidth="1"/>
    <col min="7684" max="7684" width="8.59765625" style="103" bestFit="1" customWidth="1"/>
    <col min="7685" max="7685" width="9.5" style="103" bestFit="1" customWidth="1"/>
    <col min="7686" max="7690" width="8.796875" style="103"/>
    <col min="7691" max="7692" width="9.09765625" style="103" bestFit="1" customWidth="1"/>
    <col min="7693" max="7937" width="8.796875" style="103"/>
    <col min="7938" max="7938" width="9.5" style="103" bestFit="1" customWidth="1"/>
    <col min="7939" max="7939" width="10.296875" style="103" bestFit="1" customWidth="1"/>
    <col min="7940" max="7940" width="8.59765625" style="103" bestFit="1" customWidth="1"/>
    <col min="7941" max="7941" width="9.5" style="103" bestFit="1" customWidth="1"/>
    <col min="7942" max="7946" width="8.796875" style="103"/>
    <col min="7947" max="7948" width="9.09765625" style="103" bestFit="1" customWidth="1"/>
    <col min="7949" max="8193" width="8.796875" style="103"/>
    <col min="8194" max="8194" width="9.5" style="103" bestFit="1" customWidth="1"/>
    <col min="8195" max="8195" width="10.296875" style="103" bestFit="1" customWidth="1"/>
    <col min="8196" max="8196" width="8.59765625" style="103" bestFit="1" customWidth="1"/>
    <col min="8197" max="8197" width="9.5" style="103" bestFit="1" customWidth="1"/>
    <col min="8198" max="8202" width="8.796875" style="103"/>
    <col min="8203" max="8204" width="9.09765625" style="103" bestFit="1" customWidth="1"/>
    <col min="8205" max="8449" width="8.796875" style="103"/>
    <col min="8450" max="8450" width="9.5" style="103" bestFit="1" customWidth="1"/>
    <col min="8451" max="8451" width="10.296875" style="103" bestFit="1" customWidth="1"/>
    <col min="8452" max="8452" width="8.59765625" style="103" bestFit="1" customWidth="1"/>
    <col min="8453" max="8453" width="9.5" style="103" bestFit="1" customWidth="1"/>
    <col min="8454" max="8458" width="8.796875" style="103"/>
    <col min="8459" max="8460" width="9.09765625" style="103" bestFit="1" customWidth="1"/>
    <col min="8461" max="8705" width="8.796875" style="103"/>
    <col min="8706" max="8706" width="9.5" style="103" bestFit="1" customWidth="1"/>
    <col min="8707" max="8707" width="10.296875" style="103" bestFit="1" customWidth="1"/>
    <col min="8708" max="8708" width="8.59765625" style="103" bestFit="1" customWidth="1"/>
    <col min="8709" max="8709" width="9.5" style="103" bestFit="1" customWidth="1"/>
    <col min="8710" max="8714" width="8.796875" style="103"/>
    <col min="8715" max="8716" width="9.09765625" style="103" bestFit="1" customWidth="1"/>
    <col min="8717" max="8961" width="8.796875" style="103"/>
    <col min="8962" max="8962" width="9.5" style="103" bestFit="1" customWidth="1"/>
    <col min="8963" max="8963" width="10.296875" style="103" bestFit="1" customWidth="1"/>
    <col min="8964" max="8964" width="8.59765625" style="103" bestFit="1" customWidth="1"/>
    <col min="8965" max="8965" width="9.5" style="103" bestFit="1" customWidth="1"/>
    <col min="8966" max="8970" width="8.796875" style="103"/>
    <col min="8971" max="8972" width="9.09765625" style="103" bestFit="1" customWidth="1"/>
    <col min="8973" max="9217" width="8.796875" style="103"/>
    <col min="9218" max="9218" width="9.5" style="103" bestFit="1" customWidth="1"/>
    <col min="9219" max="9219" width="10.296875" style="103" bestFit="1" customWidth="1"/>
    <col min="9220" max="9220" width="8.59765625" style="103" bestFit="1" customWidth="1"/>
    <col min="9221" max="9221" width="9.5" style="103" bestFit="1" customWidth="1"/>
    <col min="9222" max="9226" width="8.796875" style="103"/>
    <col min="9227" max="9228" width="9.09765625" style="103" bestFit="1" customWidth="1"/>
    <col min="9229" max="9473" width="8.796875" style="103"/>
    <col min="9474" max="9474" width="9.5" style="103" bestFit="1" customWidth="1"/>
    <col min="9475" max="9475" width="10.296875" style="103" bestFit="1" customWidth="1"/>
    <col min="9476" max="9476" width="8.59765625" style="103" bestFit="1" customWidth="1"/>
    <col min="9477" max="9477" width="9.5" style="103" bestFit="1" customWidth="1"/>
    <col min="9478" max="9482" width="8.796875" style="103"/>
    <col min="9483" max="9484" width="9.09765625" style="103" bestFit="1" customWidth="1"/>
    <col min="9485" max="9729" width="8.796875" style="103"/>
    <col min="9730" max="9730" width="9.5" style="103" bestFit="1" customWidth="1"/>
    <col min="9731" max="9731" width="10.296875" style="103" bestFit="1" customWidth="1"/>
    <col min="9732" max="9732" width="8.59765625" style="103" bestFit="1" customWidth="1"/>
    <col min="9733" max="9733" width="9.5" style="103" bestFit="1" customWidth="1"/>
    <col min="9734" max="9738" width="8.796875" style="103"/>
    <col min="9739" max="9740" width="9.09765625" style="103" bestFit="1" customWidth="1"/>
    <col min="9741" max="9985" width="8.796875" style="103"/>
    <col min="9986" max="9986" width="9.5" style="103" bestFit="1" customWidth="1"/>
    <col min="9987" max="9987" width="10.296875" style="103" bestFit="1" customWidth="1"/>
    <col min="9988" max="9988" width="8.59765625" style="103" bestFit="1" customWidth="1"/>
    <col min="9989" max="9989" width="9.5" style="103" bestFit="1" customWidth="1"/>
    <col min="9990" max="9994" width="8.796875" style="103"/>
    <col min="9995" max="9996" width="9.09765625" style="103" bestFit="1" customWidth="1"/>
    <col min="9997" max="10241" width="8.796875" style="103"/>
    <col min="10242" max="10242" width="9.5" style="103" bestFit="1" customWidth="1"/>
    <col min="10243" max="10243" width="10.296875" style="103" bestFit="1" customWidth="1"/>
    <col min="10244" max="10244" width="8.59765625" style="103" bestFit="1" customWidth="1"/>
    <col min="10245" max="10245" width="9.5" style="103" bestFit="1" customWidth="1"/>
    <col min="10246" max="10250" width="8.796875" style="103"/>
    <col min="10251" max="10252" width="9.09765625" style="103" bestFit="1" customWidth="1"/>
    <col min="10253" max="10497" width="8.796875" style="103"/>
    <col min="10498" max="10498" width="9.5" style="103" bestFit="1" customWidth="1"/>
    <col min="10499" max="10499" width="10.296875" style="103" bestFit="1" customWidth="1"/>
    <col min="10500" max="10500" width="8.59765625" style="103" bestFit="1" customWidth="1"/>
    <col min="10501" max="10501" width="9.5" style="103" bestFit="1" customWidth="1"/>
    <col min="10502" max="10506" width="8.796875" style="103"/>
    <col min="10507" max="10508" width="9.09765625" style="103" bestFit="1" customWidth="1"/>
    <col min="10509" max="10753" width="8.796875" style="103"/>
    <col min="10754" max="10754" width="9.5" style="103" bestFit="1" customWidth="1"/>
    <col min="10755" max="10755" width="10.296875" style="103" bestFit="1" customWidth="1"/>
    <col min="10756" max="10756" width="8.59765625" style="103" bestFit="1" customWidth="1"/>
    <col min="10757" max="10757" width="9.5" style="103" bestFit="1" customWidth="1"/>
    <col min="10758" max="10762" width="8.796875" style="103"/>
    <col min="10763" max="10764" width="9.09765625" style="103" bestFit="1" customWidth="1"/>
    <col min="10765" max="11009" width="8.796875" style="103"/>
    <col min="11010" max="11010" width="9.5" style="103" bestFit="1" customWidth="1"/>
    <col min="11011" max="11011" width="10.296875" style="103" bestFit="1" customWidth="1"/>
    <col min="11012" max="11012" width="8.59765625" style="103" bestFit="1" customWidth="1"/>
    <col min="11013" max="11013" width="9.5" style="103" bestFit="1" customWidth="1"/>
    <col min="11014" max="11018" width="8.796875" style="103"/>
    <col min="11019" max="11020" width="9.09765625" style="103" bestFit="1" customWidth="1"/>
    <col min="11021" max="11265" width="8.796875" style="103"/>
    <col min="11266" max="11266" width="9.5" style="103" bestFit="1" customWidth="1"/>
    <col min="11267" max="11267" width="10.296875" style="103" bestFit="1" customWidth="1"/>
    <col min="11268" max="11268" width="8.59765625" style="103" bestFit="1" customWidth="1"/>
    <col min="11269" max="11269" width="9.5" style="103" bestFit="1" customWidth="1"/>
    <col min="11270" max="11274" width="8.796875" style="103"/>
    <col min="11275" max="11276" width="9.09765625" style="103" bestFit="1" customWidth="1"/>
    <col min="11277" max="11521" width="8.796875" style="103"/>
    <col min="11522" max="11522" width="9.5" style="103" bestFit="1" customWidth="1"/>
    <col min="11523" max="11523" width="10.296875" style="103" bestFit="1" customWidth="1"/>
    <col min="11524" max="11524" width="8.59765625" style="103" bestFit="1" customWidth="1"/>
    <col min="11525" max="11525" width="9.5" style="103" bestFit="1" customWidth="1"/>
    <col min="11526" max="11530" width="8.796875" style="103"/>
    <col min="11531" max="11532" width="9.09765625" style="103" bestFit="1" customWidth="1"/>
    <col min="11533" max="11777" width="8.796875" style="103"/>
    <col min="11778" max="11778" width="9.5" style="103" bestFit="1" customWidth="1"/>
    <col min="11779" max="11779" width="10.296875" style="103" bestFit="1" customWidth="1"/>
    <col min="11780" max="11780" width="8.59765625" style="103" bestFit="1" customWidth="1"/>
    <col min="11781" max="11781" width="9.5" style="103" bestFit="1" customWidth="1"/>
    <col min="11782" max="11786" width="8.796875" style="103"/>
    <col min="11787" max="11788" width="9.09765625" style="103" bestFit="1" customWidth="1"/>
    <col min="11789" max="12033" width="8.796875" style="103"/>
    <col min="12034" max="12034" width="9.5" style="103" bestFit="1" customWidth="1"/>
    <col min="12035" max="12035" width="10.296875" style="103" bestFit="1" customWidth="1"/>
    <col min="12036" max="12036" width="8.59765625" style="103" bestFit="1" customWidth="1"/>
    <col min="12037" max="12037" width="9.5" style="103" bestFit="1" customWidth="1"/>
    <col min="12038" max="12042" width="8.796875" style="103"/>
    <col min="12043" max="12044" width="9.09765625" style="103" bestFit="1" customWidth="1"/>
    <col min="12045" max="12289" width="8.796875" style="103"/>
    <col min="12290" max="12290" width="9.5" style="103" bestFit="1" customWidth="1"/>
    <col min="12291" max="12291" width="10.296875" style="103" bestFit="1" customWidth="1"/>
    <col min="12292" max="12292" width="8.59765625" style="103" bestFit="1" customWidth="1"/>
    <col min="12293" max="12293" width="9.5" style="103" bestFit="1" customWidth="1"/>
    <col min="12294" max="12298" width="8.796875" style="103"/>
    <col min="12299" max="12300" width="9.09765625" style="103" bestFit="1" customWidth="1"/>
    <col min="12301" max="12545" width="8.796875" style="103"/>
    <col min="12546" max="12546" width="9.5" style="103" bestFit="1" customWidth="1"/>
    <col min="12547" max="12547" width="10.296875" style="103" bestFit="1" customWidth="1"/>
    <col min="12548" max="12548" width="8.59765625" style="103" bestFit="1" customWidth="1"/>
    <col min="12549" max="12549" width="9.5" style="103" bestFit="1" customWidth="1"/>
    <col min="12550" max="12554" width="8.796875" style="103"/>
    <col min="12555" max="12556" width="9.09765625" style="103" bestFit="1" customWidth="1"/>
    <col min="12557" max="12801" width="8.796875" style="103"/>
    <col min="12802" max="12802" width="9.5" style="103" bestFit="1" customWidth="1"/>
    <col min="12803" max="12803" width="10.296875" style="103" bestFit="1" customWidth="1"/>
    <col min="12804" max="12804" width="8.59765625" style="103" bestFit="1" customWidth="1"/>
    <col min="12805" max="12805" width="9.5" style="103" bestFit="1" customWidth="1"/>
    <col min="12806" max="12810" width="8.796875" style="103"/>
    <col min="12811" max="12812" width="9.09765625" style="103" bestFit="1" customWidth="1"/>
    <col min="12813" max="13057" width="8.796875" style="103"/>
    <col min="13058" max="13058" width="9.5" style="103" bestFit="1" customWidth="1"/>
    <col min="13059" max="13059" width="10.296875" style="103" bestFit="1" customWidth="1"/>
    <col min="13060" max="13060" width="8.59765625" style="103" bestFit="1" customWidth="1"/>
    <col min="13061" max="13061" width="9.5" style="103" bestFit="1" customWidth="1"/>
    <col min="13062" max="13066" width="8.796875" style="103"/>
    <col min="13067" max="13068" width="9.09765625" style="103" bestFit="1" customWidth="1"/>
    <col min="13069" max="13313" width="8.796875" style="103"/>
    <col min="13314" max="13314" width="9.5" style="103" bestFit="1" customWidth="1"/>
    <col min="13315" max="13315" width="10.296875" style="103" bestFit="1" customWidth="1"/>
    <col min="13316" max="13316" width="8.59765625" style="103" bestFit="1" customWidth="1"/>
    <col min="13317" max="13317" width="9.5" style="103" bestFit="1" customWidth="1"/>
    <col min="13318" max="13322" width="8.796875" style="103"/>
    <col min="13323" max="13324" width="9.09765625" style="103" bestFit="1" customWidth="1"/>
    <col min="13325" max="13569" width="8.796875" style="103"/>
    <col min="13570" max="13570" width="9.5" style="103" bestFit="1" customWidth="1"/>
    <col min="13571" max="13571" width="10.296875" style="103" bestFit="1" customWidth="1"/>
    <col min="13572" max="13572" width="8.59765625" style="103" bestFit="1" customWidth="1"/>
    <col min="13573" max="13573" width="9.5" style="103" bestFit="1" customWidth="1"/>
    <col min="13574" max="13578" width="8.796875" style="103"/>
    <col min="13579" max="13580" width="9.09765625" style="103" bestFit="1" customWidth="1"/>
    <col min="13581" max="13825" width="8.796875" style="103"/>
    <col min="13826" max="13826" width="9.5" style="103" bestFit="1" customWidth="1"/>
    <col min="13827" max="13827" width="10.296875" style="103" bestFit="1" customWidth="1"/>
    <col min="13828" max="13828" width="8.59765625" style="103" bestFit="1" customWidth="1"/>
    <col min="13829" max="13829" width="9.5" style="103" bestFit="1" customWidth="1"/>
    <col min="13830" max="13834" width="8.796875" style="103"/>
    <col min="13835" max="13836" width="9.09765625" style="103" bestFit="1" customWidth="1"/>
    <col min="13837" max="14081" width="8.796875" style="103"/>
    <col min="14082" max="14082" width="9.5" style="103" bestFit="1" customWidth="1"/>
    <col min="14083" max="14083" width="10.296875" style="103" bestFit="1" customWidth="1"/>
    <col min="14084" max="14084" width="8.59765625" style="103" bestFit="1" customWidth="1"/>
    <col min="14085" max="14085" width="9.5" style="103" bestFit="1" customWidth="1"/>
    <col min="14086" max="14090" width="8.796875" style="103"/>
    <col min="14091" max="14092" width="9.09765625" style="103" bestFit="1" customWidth="1"/>
    <col min="14093" max="14337" width="8.796875" style="103"/>
    <col min="14338" max="14338" width="9.5" style="103" bestFit="1" customWidth="1"/>
    <col min="14339" max="14339" width="10.296875" style="103" bestFit="1" customWidth="1"/>
    <col min="14340" max="14340" width="8.59765625" style="103" bestFit="1" customWidth="1"/>
    <col min="14341" max="14341" width="9.5" style="103" bestFit="1" customWidth="1"/>
    <col min="14342" max="14346" width="8.796875" style="103"/>
    <col min="14347" max="14348" width="9.09765625" style="103" bestFit="1" customWidth="1"/>
    <col min="14349" max="14593" width="8.796875" style="103"/>
    <col min="14594" max="14594" width="9.5" style="103" bestFit="1" customWidth="1"/>
    <col min="14595" max="14595" width="10.296875" style="103" bestFit="1" customWidth="1"/>
    <col min="14596" max="14596" width="8.59765625" style="103" bestFit="1" customWidth="1"/>
    <col min="14597" max="14597" width="9.5" style="103" bestFit="1" customWidth="1"/>
    <col min="14598" max="14602" width="8.796875" style="103"/>
    <col min="14603" max="14604" width="9.09765625" style="103" bestFit="1" customWidth="1"/>
    <col min="14605" max="14849" width="8.796875" style="103"/>
    <col min="14850" max="14850" width="9.5" style="103" bestFit="1" customWidth="1"/>
    <col min="14851" max="14851" width="10.296875" style="103" bestFit="1" customWidth="1"/>
    <col min="14852" max="14852" width="8.59765625" style="103" bestFit="1" customWidth="1"/>
    <col min="14853" max="14853" width="9.5" style="103" bestFit="1" customWidth="1"/>
    <col min="14854" max="14858" width="8.796875" style="103"/>
    <col min="14859" max="14860" width="9.09765625" style="103" bestFit="1" customWidth="1"/>
    <col min="14861" max="15105" width="8.796875" style="103"/>
    <col min="15106" max="15106" width="9.5" style="103" bestFit="1" customWidth="1"/>
    <col min="15107" max="15107" width="10.296875" style="103" bestFit="1" customWidth="1"/>
    <col min="15108" max="15108" width="8.59765625" style="103" bestFit="1" customWidth="1"/>
    <col min="15109" max="15109" width="9.5" style="103" bestFit="1" customWidth="1"/>
    <col min="15110" max="15114" width="8.796875" style="103"/>
    <col min="15115" max="15116" width="9.09765625" style="103" bestFit="1" customWidth="1"/>
    <col min="15117" max="15361" width="8.796875" style="103"/>
    <col min="15362" max="15362" width="9.5" style="103" bestFit="1" customWidth="1"/>
    <col min="15363" max="15363" width="10.296875" style="103" bestFit="1" customWidth="1"/>
    <col min="15364" max="15364" width="8.59765625" style="103" bestFit="1" customWidth="1"/>
    <col min="15365" max="15365" width="9.5" style="103" bestFit="1" customWidth="1"/>
    <col min="15366" max="15370" width="8.796875" style="103"/>
    <col min="15371" max="15372" width="9.09765625" style="103" bestFit="1" customWidth="1"/>
    <col min="15373" max="15617" width="8.796875" style="103"/>
    <col min="15618" max="15618" width="9.5" style="103" bestFit="1" customWidth="1"/>
    <col min="15619" max="15619" width="10.296875" style="103" bestFit="1" customWidth="1"/>
    <col min="15620" max="15620" width="8.59765625" style="103" bestFit="1" customWidth="1"/>
    <col min="15621" max="15621" width="9.5" style="103" bestFit="1" customWidth="1"/>
    <col min="15622" max="15626" width="8.796875" style="103"/>
    <col min="15627" max="15628" width="9.09765625" style="103" bestFit="1" customWidth="1"/>
    <col min="15629" max="15873" width="8.796875" style="103"/>
    <col min="15874" max="15874" width="9.5" style="103" bestFit="1" customWidth="1"/>
    <col min="15875" max="15875" width="10.296875" style="103" bestFit="1" customWidth="1"/>
    <col min="15876" max="15876" width="8.59765625" style="103" bestFit="1" customWidth="1"/>
    <col min="15877" max="15877" width="9.5" style="103" bestFit="1" customWidth="1"/>
    <col min="15878" max="15882" width="8.796875" style="103"/>
    <col min="15883" max="15884" width="9.09765625" style="103" bestFit="1" customWidth="1"/>
    <col min="15885" max="16129" width="8.796875" style="103"/>
    <col min="16130" max="16130" width="9.5" style="103" bestFit="1" customWidth="1"/>
    <col min="16131" max="16131" width="10.296875" style="103" bestFit="1" customWidth="1"/>
    <col min="16132" max="16132" width="8.59765625" style="103" bestFit="1" customWidth="1"/>
    <col min="16133" max="16133" width="9.5" style="103" bestFit="1" customWidth="1"/>
    <col min="16134" max="16138" width="8.796875" style="103"/>
    <col min="16139" max="16140" width="9.09765625" style="103" bestFit="1" customWidth="1"/>
    <col min="16141" max="16384" width="8.796875" style="103"/>
  </cols>
  <sheetData>
    <row r="1" spans="1:18" ht="13.8" x14ac:dyDescent="0.25">
      <c r="A1" s="186" t="s">
        <v>245</v>
      </c>
      <c r="B1" s="186" t="s">
        <v>246</v>
      </c>
      <c r="C1" s="186" t="s">
        <v>247</v>
      </c>
      <c r="D1" s="186" t="s">
        <v>248</v>
      </c>
      <c r="E1" s="186" t="s">
        <v>249</v>
      </c>
      <c r="F1" s="186"/>
      <c r="G1" s="186"/>
      <c r="H1" s="186"/>
      <c r="I1" s="186"/>
      <c r="J1" s="186"/>
      <c r="K1" s="186"/>
      <c r="L1" s="186"/>
      <c r="M1" s="187"/>
      <c r="N1" s="187"/>
      <c r="O1" s="187"/>
      <c r="P1" s="187"/>
      <c r="Q1" s="187"/>
    </row>
    <row r="2" spans="1:18" ht="13.8" x14ac:dyDescent="0.25">
      <c r="A2" s="188" t="s">
        <v>250</v>
      </c>
      <c r="B2" s="189">
        <v>29342</v>
      </c>
      <c r="C2" s="190">
        <v>1042.7956989247311</v>
      </c>
      <c r="D2" s="191">
        <f>C2*$B$25</f>
        <v>4485.5950328209756</v>
      </c>
      <c r="E2" s="188" t="s">
        <v>101</v>
      </c>
      <c r="F2" s="188"/>
      <c r="G2" s="188"/>
      <c r="H2" s="188"/>
      <c r="I2" s="188"/>
      <c r="J2" s="192"/>
      <c r="K2" s="193"/>
      <c r="L2" s="194"/>
      <c r="M2" s="187"/>
      <c r="N2" s="187"/>
      <c r="O2" s="187"/>
      <c r="P2" s="187"/>
      <c r="Q2" s="187"/>
    </row>
    <row r="3" spans="1:18" ht="13.8" x14ac:dyDescent="0.25">
      <c r="A3" s="188" t="s">
        <v>251</v>
      </c>
      <c r="B3" s="189">
        <v>29738</v>
      </c>
      <c r="C3" s="190">
        <v>1814.4086021505375</v>
      </c>
      <c r="D3" s="191">
        <f t="shared" ref="D3:D21" si="0">C3*$B$25</f>
        <v>7804.6948426295257</v>
      </c>
      <c r="E3" s="188" t="s">
        <v>225</v>
      </c>
      <c r="F3" s="188"/>
      <c r="G3" s="188"/>
      <c r="H3" s="188"/>
      <c r="I3" s="188"/>
      <c r="J3" s="192"/>
      <c r="K3" s="193"/>
      <c r="L3" s="194"/>
      <c r="M3" s="187"/>
      <c r="N3" s="187"/>
      <c r="O3" s="187"/>
      <c r="P3" s="187"/>
      <c r="Q3" s="187"/>
    </row>
    <row r="4" spans="1:18" ht="13.8" x14ac:dyDescent="0.25">
      <c r="A4" s="188" t="s">
        <v>252</v>
      </c>
      <c r="B4" s="189">
        <v>30512</v>
      </c>
      <c r="C4" s="190">
        <v>765.16129032258061</v>
      </c>
      <c r="D4" s="191">
        <f>C4*$B$25</f>
        <v>3291.3481391579771</v>
      </c>
      <c r="E4" s="188" t="s">
        <v>224</v>
      </c>
      <c r="F4" s="188"/>
      <c r="G4" s="188"/>
      <c r="H4" s="188"/>
      <c r="I4" s="188"/>
      <c r="J4" s="192"/>
      <c r="K4" s="193"/>
      <c r="L4" s="194"/>
      <c r="M4" s="187"/>
      <c r="N4" s="187"/>
      <c r="O4" s="187"/>
      <c r="P4" s="187"/>
      <c r="Q4" s="187"/>
    </row>
    <row r="5" spans="1:18" ht="13.8" x14ac:dyDescent="0.25">
      <c r="A5" s="188" t="s">
        <v>253</v>
      </c>
      <c r="B5" s="189">
        <v>30735</v>
      </c>
      <c r="C5" s="190">
        <v>691.39784946236557</v>
      </c>
      <c r="D5" s="191">
        <f t="shared" si="0"/>
        <v>2974.0540380530906</v>
      </c>
      <c r="E5" s="188" t="s">
        <v>178</v>
      </c>
      <c r="F5" s="188"/>
      <c r="G5" s="188"/>
      <c r="H5" s="188"/>
      <c r="I5" s="188"/>
      <c r="J5" s="192"/>
      <c r="K5" s="193"/>
      <c r="L5" s="194"/>
      <c r="M5" s="187"/>
      <c r="N5" s="187"/>
      <c r="O5" s="187"/>
      <c r="P5" s="187"/>
      <c r="Q5" s="187"/>
    </row>
    <row r="6" spans="1:18" ht="13.8" x14ac:dyDescent="0.25">
      <c r="A6" s="188" t="s">
        <v>254</v>
      </c>
      <c r="B6" s="189">
        <v>29823</v>
      </c>
      <c r="C6" s="190">
        <v>1225.8064516129032</v>
      </c>
      <c r="D6" s="191">
        <f t="shared" si="0"/>
        <v>5272.8174236089017</v>
      </c>
      <c r="E6" s="188" t="s">
        <v>255</v>
      </c>
      <c r="F6" s="188"/>
      <c r="G6" s="188"/>
      <c r="H6" s="188"/>
      <c r="I6" s="188"/>
      <c r="J6" s="192"/>
      <c r="K6" s="193"/>
      <c r="L6" s="194"/>
      <c r="M6" s="187"/>
      <c r="N6" s="187"/>
      <c r="O6" s="187"/>
      <c r="P6" s="187"/>
      <c r="Q6" s="187"/>
    </row>
    <row r="7" spans="1:18" ht="13.8" x14ac:dyDescent="0.25">
      <c r="A7" s="188" t="s">
        <v>256</v>
      </c>
      <c r="B7" s="189">
        <v>29355</v>
      </c>
      <c r="C7" s="190">
        <v>1446.6666666666665</v>
      </c>
      <c r="D7" s="191">
        <f t="shared" si="0"/>
        <v>6222.8496155468556</v>
      </c>
      <c r="E7" s="188" t="s">
        <v>60</v>
      </c>
      <c r="F7" s="188"/>
      <c r="G7" s="188"/>
      <c r="H7" s="188"/>
      <c r="I7" s="188"/>
      <c r="J7" s="192"/>
      <c r="K7" s="193"/>
      <c r="L7" s="194"/>
      <c r="M7" s="187"/>
      <c r="N7" s="187"/>
      <c r="O7" s="187"/>
      <c r="P7" s="187"/>
      <c r="Q7" s="187"/>
    </row>
    <row r="8" spans="1:18" ht="13.8" x14ac:dyDescent="0.25">
      <c r="A8" s="188" t="s">
        <v>257</v>
      </c>
      <c r="B8" s="189">
        <v>30951</v>
      </c>
      <c r="C8" s="190">
        <v>1484.0860215053763</v>
      </c>
      <c r="D8" s="191">
        <f t="shared" si="0"/>
        <v>6383.8093053201801</v>
      </c>
      <c r="E8" s="188" t="s">
        <v>101</v>
      </c>
      <c r="F8" s="188"/>
      <c r="G8" s="188"/>
      <c r="H8" s="188"/>
      <c r="I8" s="188"/>
      <c r="J8" s="192"/>
      <c r="K8" s="193"/>
      <c r="L8" s="194"/>
      <c r="M8" s="187"/>
      <c r="N8" s="187"/>
      <c r="O8" s="187"/>
      <c r="P8" s="187"/>
      <c r="Q8" s="187"/>
    </row>
    <row r="9" spans="1:18" ht="13.8" x14ac:dyDescent="0.25">
      <c r="A9" s="188" t="s">
        <v>258</v>
      </c>
      <c r="B9" s="189">
        <v>29691</v>
      </c>
      <c r="C9" s="190">
        <v>1827.9569892473116</v>
      </c>
      <c r="D9" s="191">
        <f t="shared" si="0"/>
        <v>7862.9733509957296</v>
      </c>
      <c r="E9" s="188" t="s">
        <v>108</v>
      </c>
      <c r="F9" s="188"/>
      <c r="G9" s="188"/>
      <c r="H9" s="188"/>
      <c r="I9" s="188"/>
      <c r="J9" s="192"/>
      <c r="K9" s="193"/>
      <c r="L9" s="194"/>
      <c r="M9" s="187"/>
      <c r="N9" s="187"/>
      <c r="O9" s="187"/>
      <c r="P9" s="187"/>
      <c r="Q9" s="187"/>
    </row>
    <row r="10" spans="1:18" ht="25.2" x14ac:dyDescent="0.45">
      <c r="A10" s="188" t="s">
        <v>259</v>
      </c>
      <c r="B10" s="189">
        <v>29584</v>
      </c>
      <c r="C10" s="190">
        <v>2101.0752688172042</v>
      </c>
      <c r="D10" s="191">
        <f>C10*$B$25</f>
        <v>9037.7940752033264</v>
      </c>
      <c r="E10" s="188" t="s">
        <v>101</v>
      </c>
      <c r="F10" s="188"/>
      <c r="G10" s="188"/>
      <c r="H10" s="188"/>
      <c r="I10" s="285" t="s">
        <v>362</v>
      </c>
      <c r="J10" s="286"/>
      <c r="K10" s="287"/>
      <c r="L10" s="288"/>
      <c r="M10" s="289"/>
      <c r="N10" s="284"/>
      <c r="O10" s="187"/>
      <c r="P10" s="187"/>
      <c r="Q10" s="187"/>
    </row>
    <row r="11" spans="1:18" ht="25.2" x14ac:dyDescent="0.45">
      <c r="A11" s="188" t="s">
        <v>260</v>
      </c>
      <c r="B11" s="189">
        <v>30887</v>
      </c>
      <c r="C11" s="190">
        <v>2302.3655913978491</v>
      </c>
      <c r="D11" s="191">
        <f t="shared" si="0"/>
        <v>9903.6461995012087</v>
      </c>
      <c r="E11" s="188" t="s">
        <v>101</v>
      </c>
      <c r="F11" s="188"/>
      <c r="G11" s="188"/>
      <c r="H11" s="188"/>
      <c r="I11" s="280"/>
      <c r="J11" s="281"/>
      <c r="K11" s="282"/>
      <c r="L11" s="283"/>
      <c r="M11" s="284"/>
      <c r="N11" s="284"/>
      <c r="O11" s="187"/>
      <c r="P11" s="187"/>
      <c r="Q11" s="187"/>
    </row>
    <row r="12" spans="1:18" ht="25.2" x14ac:dyDescent="0.45">
      <c r="A12" s="188" t="s">
        <v>261</v>
      </c>
      <c r="B12" s="189">
        <v>30490</v>
      </c>
      <c r="C12" s="190">
        <v>666.66666666666663</v>
      </c>
      <c r="D12" s="191">
        <f t="shared" si="0"/>
        <v>2867.6726338925605</v>
      </c>
      <c r="E12" s="188" t="s">
        <v>225</v>
      </c>
      <c r="F12" s="188"/>
      <c r="G12" s="188"/>
      <c r="H12" s="188"/>
      <c r="I12" s="285" t="s">
        <v>363</v>
      </c>
      <c r="J12" s="286"/>
      <c r="K12" s="287"/>
      <c r="L12" s="288"/>
      <c r="M12" s="290"/>
      <c r="N12" s="290"/>
      <c r="O12" s="291"/>
      <c r="P12" s="291"/>
      <c r="Q12" s="291"/>
      <c r="R12" s="292"/>
    </row>
    <row r="13" spans="1:18" ht="13.8" x14ac:dyDescent="0.25">
      <c r="A13" s="188" t="s">
        <v>262</v>
      </c>
      <c r="B13" s="189">
        <v>29810</v>
      </c>
      <c r="C13" s="190">
        <v>1582.1505376344085</v>
      </c>
      <c r="D13" s="191">
        <f t="shared" si="0"/>
        <v>6805.634699208892</v>
      </c>
      <c r="E13" s="188" t="s">
        <v>224</v>
      </c>
      <c r="F13" s="188"/>
      <c r="G13" s="188"/>
      <c r="H13" s="188"/>
      <c r="I13" s="188"/>
      <c r="J13" s="192"/>
      <c r="K13" s="193"/>
      <c r="L13" s="194"/>
      <c r="M13" s="188"/>
      <c r="N13" s="192"/>
      <c r="O13" s="187"/>
      <c r="P13" s="187"/>
      <c r="Q13" s="187"/>
    </row>
    <row r="14" spans="1:18" ht="13.8" x14ac:dyDescent="0.25">
      <c r="A14" s="188" t="s">
        <v>263</v>
      </c>
      <c r="B14" s="189">
        <v>30072</v>
      </c>
      <c r="C14" s="190">
        <v>946.88172043010741</v>
      </c>
      <c r="D14" s="191">
        <f t="shared" si="0"/>
        <v>4073.0201958157877</v>
      </c>
      <c r="E14" s="188" t="s">
        <v>178</v>
      </c>
      <c r="F14" s="188"/>
      <c r="G14" s="188"/>
      <c r="H14" s="188"/>
      <c r="I14" s="188"/>
      <c r="J14" s="192"/>
      <c r="K14" s="193"/>
      <c r="L14" s="194"/>
      <c r="M14" s="188"/>
      <c r="N14" s="192"/>
      <c r="O14" s="187"/>
      <c r="P14" s="187"/>
      <c r="Q14" s="187"/>
    </row>
    <row r="15" spans="1:18" ht="13.8" x14ac:dyDescent="0.25">
      <c r="A15" s="188" t="s">
        <v>250</v>
      </c>
      <c r="B15" s="189">
        <v>31265</v>
      </c>
      <c r="C15" s="190">
        <v>1397.8494623655913</v>
      </c>
      <c r="D15" s="191">
        <f t="shared" si="0"/>
        <v>6012.8619742908522</v>
      </c>
      <c r="E15" s="188" t="s">
        <v>255</v>
      </c>
      <c r="F15" s="188"/>
      <c r="G15" s="188"/>
      <c r="H15" s="188"/>
      <c r="I15" s="188"/>
      <c r="J15" s="192"/>
      <c r="K15" s="193"/>
      <c r="L15" s="194"/>
      <c r="M15" s="188"/>
      <c r="N15" s="192"/>
      <c r="O15" s="187"/>
      <c r="P15" s="187"/>
      <c r="Q15" s="187"/>
    </row>
    <row r="16" spans="1:18" ht="13.8" x14ac:dyDescent="0.25">
      <c r="A16" s="188" t="s">
        <v>264</v>
      </c>
      <c r="B16" s="189">
        <v>29538</v>
      </c>
      <c r="C16" s="190">
        <v>1742.1505376344085</v>
      </c>
      <c r="D16" s="191">
        <f t="shared" si="0"/>
        <v>7493.8761313431069</v>
      </c>
      <c r="E16" s="188" t="s">
        <v>60</v>
      </c>
      <c r="F16" s="188"/>
      <c r="G16" s="188"/>
      <c r="H16" s="188"/>
      <c r="I16" s="188"/>
      <c r="J16" s="192"/>
      <c r="K16" s="193"/>
      <c r="L16" s="194"/>
      <c r="M16" s="188"/>
      <c r="N16" s="192"/>
      <c r="O16" s="187"/>
      <c r="P16" s="187"/>
      <c r="Q16" s="187"/>
    </row>
    <row r="17" spans="1:17" ht="13.8" x14ac:dyDescent="0.25">
      <c r="A17" s="188" t="s">
        <v>265</v>
      </c>
      <c r="B17" s="189">
        <v>31264</v>
      </c>
      <c r="C17" s="190">
        <v>2071.6129032258063</v>
      </c>
      <c r="D17" s="191">
        <f t="shared" si="0"/>
        <v>8911.0614458990422</v>
      </c>
      <c r="E17" s="188" t="s">
        <v>82</v>
      </c>
      <c r="F17" s="188"/>
      <c r="G17" s="188"/>
      <c r="H17" s="188"/>
      <c r="I17" s="188"/>
      <c r="J17" s="192"/>
      <c r="K17" s="193"/>
      <c r="L17" s="194"/>
      <c r="M17" s="188"/>
      <c r="N17" s="192"/>
      <c r="O17" s="187"/>
      <c r="P17" s="187"/>
      <c r="Q17" s="187"/>
    </row>
    <row r="18" spans="1:17" ht="13.8" x14ac:dyDescent="0.25">
      <c r="A18" s="188" t="s">
        <v>266</v>
      </c>
      <c r="B18" s="189">
        <v>31458</v>
      </c>
      <c r="C18" s="190">
        <v>2032.2580645161288</v>
      </c>
      <c r="D18" s="191">
        <f t="shared" si="0"/>
        <v>8741.7762549305462</v>
      </c>
      <c r="E18" s="188" t="s">
        <v>108</v>
      </c>
      <c r="F18" s="188"/>
      <c r="G18" s="188"/>
      <c r="H18" s="188"/>
      <c r="I18" s="188"/>
      <c r="J18" s="192"/>
      <c r="K18" s="193"/>
      <c r="L18" s="194"/>
      <c r="M18" s="188"/>
      <c r="N18" s="192"/>
      <c r="O18" s="187"/>
      <c r="P18" s="187"/>
      <c r="Q18" s="187"/>
    </row>
    <row r="19" spans="1:17" ht="13.8" x14ac:dyDescent="0.25">
      <c r="A19" s="187" t="s">
        <v>267</v>
      </c>
      <c r="B19" s="195">
        <v>29688</v>
      </c>
      <c r="C19" s="190">
        <v>1679.7849462365591</v>
      </c>
      <c r="D19" s="191">
        <f t="shared" si="0"/>
        <v>7225.6099817208997</v>
      </c>
      <c r="E19" s="188" t="s">
        <v>108</v>
      </c>
      <c r="F19" s="187"/>
      <c r="G19" s="188"/>
      <c r="H19" s="188"/>
      <c r="I19" s="188"/>
      <c r="J19" s="192"/>
      <c r="K19" s="193"/>
      <c r="L19" s="194"/>
      <c r="M19" s="188"/>
      <c r="N19" s="192"/>
      <c r="O19" s="187"/>
      <c r="P19" s="187"/>
      <c r="Q19" s="187"/>
    </row>
    <row r="20" spans="1:17" ht="13.8" x14ac:dyDescent="0.25">
      <c r="A20" s="187" t="s">
        <v>268</v>
      </c>
      <c r="B20" s="195">
        <v>30064</v>
      </c>
      <c r="C20" s="190">
        <v>1167.741935483871</v>
      </c>
      <c r="D20" s="191">
        <f t="shared" si="0"/>
        <v>5023.0523877537426</v>
      </c>
      <c r="E20" s="188" t="s">
        <v>269</v>
      </c>
      <c r="F20" s="187"/>
      <c r="G20" s="188"/>
      <c r="H20" s="188"/>
      <c r="I20" s="188"/>
      <c r="J20" s="192"/>
      <c r="K20" s="193"/>
      <c r="L20" s="194"/>
      <c r="M20" s="188"/>
      <c r="N20" s="192"/>
      <c r="O20" s="187"/>
      <c r="P20" s="187"/>
      <c r="Q20" s="187"/>
    </row>
    <row r="21" spans="1:17" ht="13.8" x14ac:dyDescent="0.25">
      <c r="A21" s="187" t="s">
        <v>270</v>
      </c>
      <c r="B21" s="195">
        <v>31379</v>
      </c>
      <c r="C21" s="190">
        <v>1070.752688172043</v>
      </c>
      <c r="D21" s="191">
        <f t="shared" si="0"/>
        <v>4605.8522723067927</v>
      </c>
      <c r="E21" s="188" t="s">
        <v>101</v>
      </c>
      <c r="F21" s="187"/>
      <c r="G21" s="188"/>
      <c r="H21" s="188"/>
      <c r="I21" s="188"/>
      <c r="J21" s="192"/>
      <c r="K21" s="193"/>
      <c r="L21" s="194"/>
      <c r="M21" s="187"/>
      <c r="N21" s="192"/>
      <c r="O21" s="187"/>
      <c r="P21" s="187"/>
      <c r="Q21" s="187"/>
    </row>
    <row r="22" spans="1:17" ht="14.4" thickBot="1" x14ac:dyDescent="0.3">
      <c r="A22" s="187"/>
      <c r="B22" s="187"/>
      <c r="C22" s="187"/>
      <c r="D22" s="187"/>
      <c r="E22" s="187"/>
      <c r="F22" s="187"/>
      <c r="G22" s="188"/>
      <c r="H22" s="192"/>
      <c r="I22" s="187"/>
      <c r="J22" s="187"/>
      <c r="K22" s="187"/>
      <c r="L22" s="196"/>
      <c r="M22" s="187"/>
      <c r="N22" s="192"/>
      <c r="O22" s="187"/>
      <c r="P22" s="187"/>
      <c r="Q22" s="187"/>
    </row>
    <row r="23" spans="1:17" ht="14.4" thickBot="1" x14ac:dyDescent="0.3">
      <c r="A23" s="187"/>
      <c r="B23" s="187"/>
      <c r="C23" s="187"/>
      <c r="D23" s="336">
        <f>SUM(D2:D21)</f>
        <v>124999.99999999999</v>
      </c>
      <c r="E23" s="187"/>
      <c r="F23" s="187"/>
      <c r="G23" s="188"/>
      <c r="H23" s="192"/>
      <c r="I23" s="187"/>
      <c r="J23" s="187"/>
      <c r="K23" s="191"/>
      <c r="L23" s="191"/>
      <c r="M23" s="187"/>
      <c r="N23" s="192"/>
      <c r="O23" s="187"/>
      <c r="P23" s="187"/>
      <c r="Q23" s="187"/>
    </row>
    <row r="24" spans="1:17" ht="13.8" x14ac:dyDescent="0.25">
      <c r="A24" s="187"/>
      <c r="B24" s="187"/>
      <c r="C24" s="187"/>
      <c r="D24" s="187"/>
      <c r="E24" s="187"/>
      <c r="F24" s="187"/>
      <c r="G24" s="187"/>
      <c r="H24" s="187"/>
      <c r="I24" s="187"/>
      <c r="J24" s="187"/>
      <c r="K24" s="187"/>
      <c r="L24" s="187"/>
      <c r="M24" s="187"/>
      <c r="N24" s="187"/>
      <c r="O24" s="187"/>
      <c r="P24" s="187"/>
      <c r="Q24" s="187"/>
    </row>
    <row r="25" spans="1:17" ht="13.8" x14ac:dyDescent="0.25">
      <c r="A25" s="187" t="s">
        <v>137</v>
      </c>
      <c r="B25" s="187">
        <v>4.3015089508388407</v>
      </c>
      <c r="C25" s="187"/>
      <c r="D25" s="187"/>
      <c r="E25" s="187"/>
      <c r="F25" s="187"/>
      <c r="G25" s="187"/>
      <c r="H25" s="187"/>
      <c r="I25" s="187"/>
      <c r="J25" s="187"/>
      <c r="N25" s="186"/>
      <c r="O25" s="186"/>
      <c r="P25" s="187"/>
      <c r="Q25" s="187"/>
    </row>
    <row r="26" spans="1:17" ht="13.8" x14ac:dyDescent="0.25">
      <c r="A26" s="187"/>
      <c r="B26" s="187"/>
      <c r="C26" s="187"/>
      <c r="D26" s="187"/>
      <c r="E26" s="187"/>
      <c r="F26" s="187"/>
      <c r="G26" s="187"/>
      <c r="H26" s="187"/>
      <c r="I26" s="187"/>
      <c r="J26" s="187"/>
      <c r="N26" s="188"/>
      <c r="O26" s="187"/>
      <c r="P26" s="187"/>
      <c r="Q26" s="187"/>
    </row>
    <row r="27" spans="1:17" ht="13.8" x14ac:dyDescent="0.25">
      <c r="A27" s="187"/>
      <c r="B27" s="187"/>
      <c r="C27" s="198"/>
      <c r="D27" s="199"/>
      <c r="E27" s="198"/>
      <c r="F27" s="187"/>
      <c r="G27" s="187"/>
      <c r="H27" s="187"/>
      <c r="I27" s="187"/>
      <c r="J27" s="187"/>
      <c r="N27" s="186"/>
      <c r="O27" s="188"/>
      <c r="P27" s="187"/>
      <c r="Q27" s="187"/>
    </row>
    <row r="28" spans="1:17" ht="13.8" x14ac:dyDescent="0.25">
      <c r="A28" s="187"/>
      <c r="B28" s="187"/>
      <c r="C28" s="200"/>
      <c r="D28" s="199"/>
      <c r="E28" s="200"/>
      <c r="F28" s="187"/>
      <c r="G28" s="187"/>
      <c r="H28" s="187"/>
      <c r="I28" s="187"/>
      <c r="J28" s="187"/>
      <c r="K28" s="187"/>
      <c r="L28" s="187"/>
      <c r="M28" s="187"/>
      <c r="N28" s="188"/>
      <c r="O28" s="187"/>
      <c r="P28" s="187"/>
      <c r="Q28" s="187"/>
    </row>
    <row r="29" spans="1:17" ht="13.8" x14ac:dyDescent="0.25">
      <c r="A29" s="187"/>
      <c r="B29" s="187"/>
      <c r="C29" s="200"/>
      <c r="D29" s="199"/>
      <c r="E29" s="200"/>
      <c r="F29" s="187"/>
      <c r="G29" s="187"/>
      <c r="H29" s="187"/>
      <c r="I29" s="187"/>
      <c r="J29" s="187"/>
      <c r="K29" s="187"/>
      <c r="L29" s="187"/>
      <c r="M29" s="187"/>
      <c r="N29" s="187"/>
      <c r="O29" s="187"/>
      <c r="P29" s="187"/>
      <c r="Q29" s="187"/>
    </row>
    <row r="30" spans="1:17" ht="13.8" x14ac:dyDescent="0.25">
      <c r="A30" s="187"/>
      <c r="B30" s="187"/>
      <c r="C30" s="187"/>
      <c r="D30" s="187"/>
      <c r="E30" s="187"/>
      <c r="F30" s="187"/>
      <c r="G30" s="187"/>
      <c r="H30" s="187"/>
      <c r="I30" s="187"/>
      <c r="J30" s="187"/>
      <c r="K30" s="187"/>
      <c r="L30" s="187"/>
      <c r="M30" s="187"/>
      <c r="N30" s="187"/>
      <c r="O30" s="187"/>
      <c r="P30" s="187"/>
      <c r="Q30" s="187"/>
    </row>
    <row r="31" spans="1:17" ht="13.8" x14ac:dyDescent="0.25">
      <c r="A31" s="187"/>
      <c r="B31" s="187"/>
      <c r="C31" s="187"/>
      <c r="D31" s="187"/>
      <c r="E31" s="187"/>
      <c r="F31" s="187"/>
      <c r="G31" s="187"/>
      <c r="H31" s="187"/>
      <c r="I31" s="187"/>
      <c r="J31" s="187"/>
      <c r="K31" s="187"/>
      <c r="L31" s="187"/>
      <c r="M31" s="187"/>
      <c r="N31" s="187"/>
      <c r="O31" s="187"/>
      <c r="P31" s="187"/>
      <c r="Q31" s="187"/>
    </row>
    <row r="32" spans="1:17" ht="13.8" x14ac:dyDescent="0.25">
      <c r="A32" s="187"/>
      <c r="B32" s="187"/>
      <c r="C32" s="187"/>
      <c r="D32" s="187"/>
      <c r="E32" s="187"/>
      <c r="F32" s="187"/>
      <c r="G32" s="187"/>
      <c r="H32" s="187"/>
      <c r="I32" s="187"/>
      <c r="J32" s="187"/>
      <c r="K32" s="187"/>
      <c r="L32" s="187"/>
      <c r="M32" s="187"/>
      <c r="N32" s="187"/>
      <c r="O32" s="187"/>
      <c r="P32" s="187"/>
      <c r="Q32" s="187"/>
    </row>
    <row r="33" spans="1:17" ht="13.8" x14ac:dyDescent="0.25">
      <c r="A33" s="187"/>
      <c r="B33" s="187"/>
      <c r="C33" s="187"/>
      <c r="D33" s="187"/>
      <c r="E33" s="187"/>
      <c r="F33" s="187"/>
      <c r="G33" s="187"/>
      <c r="H33" s="187"/>
      <c r="I33" s="187"/>
      <c r="J33" s="187"/>
      <c r="K33" s="187"/>
      <c r="L33" s="197"/>
      <c r="M33" s="187"/>
      <c r="N33" s="187"/>
      <c r="O33" s="187"/>
      <c r="P33" s="187"/>
      <c r="Q33" s="187"/>
    </row>
    <row r="34" spans="1:17" ht="13.8" x14ac:dyDescent="0.25">
      <c r="A34" s="187"/>
      <c r="B34" s="187"/>
      <c r="C34" s="187"/>
      <c r="D34" s="187"/>
      <c r="E34" s="187"/>
      <c r="F34" s="187"/>
      <c r="G34" s="187"/>
      <c r="H34" s="187"/>
      <c r="I34" s="187"/>
      <c r="J34" s="187"/>
      <c r="K34" s="187"/>
      <c r="L34" s="187"/>
      <c r="M34" s="187"/>
      <c r="N34" s="187"/>
      <c r="O34" s="187"/>
      <c r="P34" s="187"/>
      <c r="Q34" s="187"/>
    </row>
    <row r="35" spans="1:17" ht="13.8" x14ac:dyDescent="0.25">
      <c r="A35" s="187"/>
      <c r="B35" s="187"/>
      <c r="C35" s="187"/>
      <c r="D35" s="187"/>
      <c r="E35" s="187"/>
      <c r="F35" s="187"/>
      <c r="G35" s="187"/>
      <c r="H35" s="187"/>
      <c r="I35" s="187"/>
      <c r="J35" s="187"/>
      <c r="K35" s="187"/>
      <c r="L35" s="187"/>
      <c r="M35" s="187"/>
      <c r="N35" s="187"/>
      <c r="O35" s="187"/>
      <c r="P35" s="187"/>
      <c r="Q35" s="187"/>
    </row>
    <row r="36" spans="1:17" ht="13.8" x14ac:dyDescent="0.25">
      <c r="A36" s="187"/>
      <c r="B36" s="187"/>
      <c r="C36" s="187"/>
      <c r="D36" s="187"/>
      <c r="E36" s="187"/>
      <c r="F36" s="187"/>
      <c r="G36" s="187"/>
      <c r="H36" s="187"/>
      <c r="I36" s="187"/>
      <c r="J36" s="187"/>
      <c r="K36" s="187"/>
      <c r="L36" s="187"/>
      <c r="M36" s="187"/>
      <c r="N36" s="187"/>
      <c r="O36" s="187"/>
      <c r="P36" s="187"/>
      <c r="Q36" s="18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E6978-E756-4814-A3CA-B19909B4A9DE}">
  <dimension ref="A1:R1528"/>
  <sheetViews>
    <sheetView rightToLeft="1" topLeftCell="C1" workbookViewId="0">
      <pane ySplit="1" topLeftCell="A2" activePane="bottomLeft" state="frozen"/>
      <selection pane="bottomLeft" activeCell="O15" sqref="O15"/>
    </sheetView>
  </sheetViews>
  <sheetFormatPr defaultColWidth="8.8984375" defaultRowHeight="13.8" x14ac:dyDescent="0.25"/>
  <cols>
    <col min="1" max="1" width="10.8984375" style="66" customWidth="1"/>
    <col min="2" max="2" width="12.8984375" style="59" customWidth="1"/>
    <col min="3" max="3" width="15.19921875" style="59" bestFit="1" customWidth="1"/>
    <col min="4" max="4" width="14.09765625" style="59" customWidth="1"/>
    <col min="5" max="5" width="11.8984375" style="59" customWidth="1"/>
    <col min="6" max="6" width="8" style="59" customWidth="1"/>
    <col min="7" max="7" width="14.3984375" style="59" customWidth="1"/>
    <col min="8" max="8" width="13.69921875" style="59" customWidth="1"/>
    <col min="9" max="9" width="11.8984375" style="59" bestFit="1" customWidth="1"/>
    <col min="10" max="10" width="8.8984375" style="59"/>
    <col min="11" max="11" width="12.19921875" style="59" bestFit="1" customWidth="1"/>
    <col min="12" max="12" width="12.5" style="59" bestFit="1" customWidth="1"/>
    <col min="13" max="14" width="8.8984375" style="59"/>
    <col min="15" max="15" width="8.8984375" style="59" customWidth="1"/>
    <col min="16" max="16" width="9.5" style="59" customWidth="1"/>
    <col min="17" max="17" width="14.3984375" style="59" customWidth="1"/>
    <col min="18" max="18" width="10.59765625" style="59" customWidth="1"/>
    <col min="19" max="20" width="8.8984375" style="59"/>
    <col min="21" max="21" width="13" style="59" bestFit="1" customWidth="1"/>
    <col min="22" max="22" width="24.69921875" style="59" customWidth="1"/>
    <col min="23" max="26" width="8.8984375" style="59"/>
    <col min="27" max="27" width="11.09765625" style="59" bestFit="1" customWidth="1"/>
    <col min="28" max="16384" width="8.8984375" style="59"/>
  </cols>
  <sheetData>
    <row r="1" spans="1:18" x14ac:dyDescent="0.25">
      <c r="A1" s="54" t="s">
        <v>147</v>
      </c>
      <c r="B1" s="55" t="s">
        <v>148</v>
      </c>
      <c r="C1" s="55" t="s">
        <v>149</v>
      </c>
      <c r="D1" s="56" t="s">
        <v>150</v>
      </c>
      <c r="E1" s="55" t="s">
        <v>151</v>
      </c>
      <c r="F1" s="55" t="s">
        <v>152</v>
      </c>
      <c r="G1" s="55" t="s">
        <v>153</v>
      </c>
      <c r="H1" s="57" t="s">
        <v>154</v>
      </c>
      <c r="I1" s="58" t="s">
        <v>155</v>
      </c>
      <c r="J1" s="58" t="s">
        <v>156</v>
      </c>
      <c r="K1" s="58" t="s">
        <v>157</v>
      </c>
      <c r="L1" s="58" t="s">
        <v>158</v>
      </c>
    </row>
    <row r="2" spans="1:18" x14ac:dyDescent="0.25">
      <c r="A2" s="60">
        <v>44025</v>
      </c>
      <c r="B2" s="61" t="s">
        <v>101</v>
      </c>
      <c r="C2" s="61" t="s">
        <v>159</v>
      </c>
      <c r="D2" s="61" t="s">
        <v>160</v>
      </c>
      <c r="E2" s="61">
        <v>299</v>
      </c>
      <c r="F2" s="61">
        <v>29</v>
      </c>
      <c r="G2" s="61" t="s">
        <v>161</v>
      </c>
      <c r="H2" s="62">
        <v>2254.46</v>
      </c>
      <c r="I2" s="63">
        <f>E2*F2-H2</f>
        <v>6416.54</v>
      </c>
      <c r="J2" s="59" t="str">
        <f>TEXT(A2,"dddd")</f>
        <v>יום שני</v>
      </c>
      <c r="K2" s="64">
        <f>IF(B2=$K$270,A2+$L$270,VLOOKUP(MONTH(A2),$K$272:$L$275,2,TRUE)+A2)</f>
        <v>44065</v>
      </c>
      <c r="L2" s="59">
        <f>VLOOKUP(WEEKDAY(A2),'[1]נתונים נוספים'!$C$4:$J$6,VLOOKUP('חתירה למטרה 2'!D2,'[1]נתונים נוספים'!$M$9:$N$15,2,FALSE),TRUE)*'חתירה למטרה 2'!I2</f>
        <v>192.49619999999999</v>
      </c>
      <c r="P2" s="381" t="s">
        <v>272</v>
      </c>
      <c r="Q2" s="381"/>
      <c r="R2" s="381"/>
    </row>
    <row r="3" spans="1:18" x14ac:dyDescent="0.25">
      <c r="A3" s="60">
        <v>44347</v>
      </c>
      <c r="B3" s="61" t="s">
        <v>162</v>
      </c>
      <c r="C3" s="61" t="s">
        <v>163</v>
      </c>
      <c r="D3" s="61" t="s">
        <v>164</v>
      </c>
      <c r="E3" s="61">
        <v>139</v>
      </c>
      <c r="F3" s="61">
        <v>20</v>
      </c>
      <c r="G3" s="61" t="s">
        <v>165</v>
      </c>
      <c r="H3" s="62">
        <v>417</v>
      </c>
      <c r="I3" s="63">
        <f t="shared" ref="I3:I66" si="0">E3*F3-H3</f>
        <v>2363</v>
      </c>
      <c r="J3" s="59" t="str">
        <f t="shared" ref="J3:J66" si="1">TEXT(A3,"dddd")</f>
        <v>יום שני</v>
      </c>
      <c r="K3" s="64">
        <f t="shared" ref="K3:K66" si="2">IF(B3=$K$270,A3+$L$270,VLOOKUP(MONTH(A3),$K$272:$L$275,2,TRUE)+A3)</f>
        <v>44437</v>
      </c>
      <c r="L3" s="59">
        <f>VLOOKUP(WEEKDAY(A3),'[1]נתונים נוספים'!$C$4:$J$6,VLOOKUP('חתירה למטרה 2'!D3,'[1]נתונים נוספים'!$M$9:$N$15,2,FALSE),TRUE)*'חתירה למטרה 2'!I3</f>
        <v>0</v>
      </c>
      <c r="P3" s="55" t="s">
        <v>166</v>
      </c>
      <c r="Q3" s="59" t="s">
        <v>273</v>
      </c>
      <c r="R3" s="59" t="s">
        <v>274</v>
      </c>
    </row>
    <row r="4" spans="1:18" x14ac:dyDescent="0.25">
      <c r="A4" s="60">
        <v>44078</v>
      </c>
      <c r="B4" s="61" t="s">
        <v>162</v>
      </c>
      <c r="C4" s="61" t="s">
        <v>167</v>
      </c>
      <c r="D4" s="61" t="s">
        <v>160</v>
      </c>
      <c r="E4" s="61">
        <v>149</v>
      </c>
      <c r="F4" s="61">
        <v>12</v>
      </c>
      <c r="G4" s="61" t="s">
        <v>168</v>
      </c>
      <c r="H4" s="62">
        <v>196.68</v>
      </c>
      <c r="I4" s="63">
        <f t="shared" si="0"/>
        <v>1591.32</v>
      </c>
      <c r="J4" s="59" t="str">
        <f t="shared" si="1"/>
        <v>יום שישי</v>
      </c>
      <c r="K4" s="64">
        <f t="shared" si="2"/>
        <v>44168</v>
      </c>
      <c r="L4" s="59">
        <f>VLOOKUP(WEEKDAY(A4),'[1]נתונים נוספים'!$C$4:$J$6,VLOOKUP('חתירה למטרה 2'!D4,'[1]נתונים נוספים'!$M$9:$N$15,2,FALSE),TRUE)*'חתירה למטרה 2'!I4</f>
        <v>0</v>
      </c>
      <c r="P4" s="61" t="s">
        <v>101</v>
      </c>
      <c r="Q4" s="59">
        <f>SUMIF($B$2:$B$267,P4,$I$2:$I$267)</f>
        <v>253455.89999999997</v>
      </c>
      <c r="R4" s="59">
        <f>VLOOKUP(P4,$P$18:$Q$24,2,0)*Q4</f>
        <v>25345.589999999997</v>
      </c>
    </row>
    <row r="5" spans="1:18" x14ac:dyDescent="0.25">
      <c r="A5" s="60">
        <v>44365</v>
      </c>
      <c r="B5" s="61" t="s">
        <v>82</v>
      </c>
      <c r="C5" s="61" t="s">
        <v>169</v>
      </c>
      <c r="D5" s="61" t="s">
        <v>160</v>
      </c>
      <c r="E5" s="61">
        <v>229</v>
      </c>
      <c r="F5" s="61">
        <v>3</v>
      </c>
      <c r="G5" s="61" t="s">
        <v>170</v>
      </c>
      <c r="H5" s="62">
        <v>109.92</v>
      </c>
      <c r="I5" s="63">
        <f t="shared" si="0"/>
        <v>577.08000000000004</v>
      </c>
      <c r="J5" s="59" t="str">
        <f t="shared" si="1"/>
        <v>יום שישי</v>
      </c>
      <c r="K5" s="64">
        <f t="shared" si="2"/>
        <v>44395</v>
      </c>
      <c r="L5" s="59">
        <f>VLOOKUP(WEEKDAY(A5),'[1]נתונים נוספים'!$C$4:$J$6,VLOOKUP('חתירה למטרה 2'!D5,'[1]נתונים נוספים'!$M$9:$N$15,2,FALSE),TRUE)*'חתירה למטרה 2'!I5</f>
        <v>0</v>
      </c>
      <c r="P5" s="61" t="s">
        <v>162</v>
      </c>
      <c r="Q5" s="59">
        <f t="shared" ref="Q5:Q10" si="3">SUMIF($B$2:$B$267,P5,$I$2:$I$267)</f>
        <v>393815.44000000012</v>
      </c>
      <c r="R5" s="59">
        <f t="shared" ref="R5:R10" si="4">VLOOKUP(P5,$P$18:$Q$24,2,0)*Q5</f>
        <v>98453.86000000003</v>
      </c>
    </row>
    <row r="6" spans="1:18" x14ac:dyDescent="0.25">
      <c r="A6" s="60">
        <v>44086</v>
      </c>
      <c r="B6" s="61" t="s">
        <v>82</v>
      </c>
      <c r="C6" s="61" t="s">
        <v>171</v>
      </c>
      <c r="D6" s="61" t="s">
        <v>164</v>
      </c>
      <c r="E6" s="61">
        <v>119</v>
      </c>
      <c r="F6" s="61">
        <v>21</v>
      </c>
      <c r="G6" s="61" t="s">
        <v>170</v>
      </c>
      <c r="H6" s="62">
        <v>499.8</v>
      </c>
      <c r="I6" s="63">
        <f t="shared" si="0"/>
        <v>1999.2</v>
      </c>
      <c r="J6" s="59" t="str">
        <f t="shared" si="1"/>
        <v>שבת</v>
      </c>
      <c r="K6" s="64">
        <f t="shared" si="2"/>
        <v>44126</v>
      </c>
      <c r="L6" s="59">
        <f>VLOOKUP(WEEKDAY(A6),'[1]נתונים נוספים'!$C$4:$J$6,VLOOKUP('חתירה למטרה 2'!D6,'[1]נתונים נוספים'!$M$9:$N$15,2,FALSE),TRUE)*'חתירה למטרה 2'!I6</f>
        <v>109.956</v>
      </c>
      <c r="P6" s="61" t="s">
        <v>82</v>
      </c>
      <c r="Q6" s="59">
        <f t="shared" si="3"/>
        <v>203143.48999999996</v>
      </c>
      <c r="R6" s="59">
        <f t="shared" si="4"/>
        <v>26408.653699999995</v>
      </c>
    </row>
    <row r="7" spans="1:18" x14ac:dyDescent="0.25">
      <c r="A7" s="60">
        <v>44241</v>
      </c>
      <c r="B7" s="61" t="s">
        <v>101</v>
      </c>
      <c r="C7" s="61" t="s">
        <v>172</v>
      </c>
      <c r="D7" s="61" t="s">
        <v>173</v>
      </c>
      <c r="E7" s="61">
        <v>175</v>
      </c>
      <c r="F7" s="61">
        <v>14</v>
      </c>
      <c r="G7" s="61" t="s">
        <v>174</v>
      </c>
      <c r="H7" s="62">
        <v>245</v>
      </c>
      <c r="I7" s="63">
        <f t="shared" si="0"/>
        <v>2205</v>
      </c>
      <c r="J7" s="59" t="str">
        <f t="shared" si="1"/>
        <v>יום ראשון</v>
      </c>
      <c r="K7" s="64">
        <f t="shared" si="2"/>
        <v>44261</v>
      </c>
      <c r="L7" s="59">
        <f>VLOOKUP(WEEKDAY(A7),'[1]נתונים נוספים'!$C$4:$J$6,VLOOKUP('חתירה למטרה 2'!D7,'[1]נתונים נוספים'!$M$9:$N$15,2,FALSE),TRUE)*'חתירה למטרה 2'!I7</f>
        <v>110.25</v>
      </c>
      <c r="P7" s="61" t="s">
        <v>175</v>
      </c>
      <c r="Q7" s="59">
        <f t="shared" si="3"/>
        <v>138717.20999999996</v>
      </c>
      <c r="R7" s="59">
        <f t="shared" si="4"/>
        <v>6935.8604999999989</v>
      </c>
    </row>
    <row r="8" spans="1:18" x14ac:dyDescent="0.25">
      <c r="A8" s="60">
        <v>44032</v>
      </c>
      <c r="B8" s="61" t="s">
        <v>162</v>
      </c>
      <c r="C8" s="61" t="s">
        <v>176</v>
      </c>
      <c r="D8" s="61" t="s">
        <v>177</v>
      </c>
      <c r="E8" s="61">
        <v>899</v>
      </c>
      <c r="F8" s="61">
        <v>17</v>
      </c>
      <c r="G8" s="61" t="s">
        <v>168</v>
      </c>
      <c r="H8" s="62">
        <v>1681.13</v>
      </c>
      <c r="I8" s="63">
        <f t="shared" si="0"/>
        <v>13601.869999999999</v>
      </c>
      <c r="J8" s="59" t="str">
        <f t="shared" si="1"/>
        <v>יום שני</v>
      </c>
      <c r="K8" s="64">
        <f t="shared" si="2"/>
        <v>44122</v>
      </c>
      <c r="L8" s="59">
        <f>VLOOKUP(WEEKDAY(A8),'[1]נתונים נוספים'!$C$4:$J$6,VLOOKUP('חתירה למטרה 2'!D8,'[1]נתונים נוספים'!$M$9:$N$15,2,FALSE),TRUE)*'חתירה למטרה 2'!I8</f>
        <v>272.03739999999999</v>
      </c>
      <c r="P8" s="61" t="s">
        <v>178</v>
      </c>
      <c r="Q8" s="59">
        <f t="shared" si="3"/>
        <v>28216.29</v>
      </c>
      <c r="R8" s="59">
        <f t="shared" si="4"/>
        <v>12650.456399999926</v>
      </c>
    </row>
    <row r="9" spans="1:18" x14ac:dyDescent="0.25">
      <c r="A9" s="60">
        <v>44084</v>
      </c>
      <c r="B9" s="61" t="s">
        <v>82</v>
      </c>
      <c r="C9" s="61" t="s">
        <v>179</v>
      </c>
      <c r="D9" s="61" t="s">
        <v>180</v>
      </c>
      <c r="E9" s="61">
        <v>499</v>
      </c>
      <c r="F9" s="61">
        <v>5</v>
      </c>
      <c r="G9" s="61" t="s">
        <v>181</v>
      </c>
      <c r="H9" s="62">
        <v>399.2</v>
      </c>
      <c r="I9" s="63">
        <f t="shared" si="0"/>
        <v>2095.8000000000002</v>
      </c>
      <c r="J9" s="59" t="str">
        <f t="shared" si="1"/>
        <v>יום חמישי</v>
      </c>
      <c r="K9" s="64">
        <f t="shared" si="2"/>
        <v>44124</v>
      </c>
      <c r="L9" s="59">
        <f>VLOOKUP(WEEKDAY(A9),'[1]נתונים נוספים'!$C$4:$J$6,VLOOKUP('חתירה למטרה 2'!D9,'[1]נתונים נוספים'!$M$9:$N$15,2,FALSE),TRUE)*'חתירה למטרה 2'!I9</f>
        <v>188.62200000000001</v>
      </c>
      <c r="P9" s="61" t="s">
        <v>60</v>
      </c>
      <c r="Q9" s="59">
        <f t="shared" si="3"/>
        <v>45375.049999999996</v>
      </c>
      <c r="R9" s="59">
        <f t="shared" si="4"/>
        <v>8167.5089999999991</v>
      </c>
    </row>
    <row r="10" spans="1:18" x14ac:dyDescent="0.25">
      <c r="A10" s="60">
        <v>44322</v>
      </c>
      <c r="B10" s="61" t="s">
        <v>162</v>
      </c>
      <c r="C10" s="61" t="s">
        <v>182</v>
      </c>
      <c r="D10" s="61" t="s">
        <v>177</v>
      </c>
      <c r="E10" s="61">
        <v>59</v>
      </c>
      <c r="F10" s="61">
        <v>7</v>
      </c>
      <c r="G10" s="61" t="s">
        <v>183</v>
      </c>
      <c r="H10" s="62">
        <v>49.559999999999995</v>
      </c>
      <c r="I10" s="63">
        <f t="shared" si="0"/>
        <v>363.44</v>
      </c>
      <c r="J10" s="59" t="str">
        <f t="shared" si="1"/>
        <v>יום חמישי</v>
      </c>
      <c r="K10" s="64">
        <f t="shared" si="2"/>
        <v>44412</v>
      </c>
      <c r="L10" s="59">
        <f>VLOOKUP(WEEKDAY(A10),'[1]נתונים נוספים'!$C$4:$J$6,VLOOKUP('חתירה למטרה 2'!D10,'[1]נתונים נוספים'!$M$9:$N$15,2,FALSE),TRUE)*'חתירה למטרה 2'!I10</f>
        <v>14.537599999999999</v>
      </c>
      <c r="P10" s="61" t="s">
        <v>184</v>
      </c>
      <c r="Q10" s="59">
        <f t="shared" si="3"/>
        <v>4483.92</v>
      </c>
      <c r="R10" s="59">
        <f t="shared" si="4"/>
        <v>538.07039999999995</v>
      </c>
    </row>
    <row r="11" spans="1:18" x14ac:dyDescent="0.25">
      <c r="A11" s="60">
        <v>44340</v>
      </c>
      <c r="B11" s="61" t="s">
        <v>101</v>
      </c>
      <c r="C11" s="61" t="s">
        <v>185</v>
      </c>
      <c r="D11" s="61" t="s">
        <v>177</v>
      </c>
      <c r="E11" s="61">
        <v>95</v>
      </c>
      <c r="F11" s="61">
        <v>1</v>
      </c>
      <c r="G11" s="61" t="s">
        <v>174</v>
      </c>
      <c r="H11" s="62">
        <v>14.25</v>
      </c>
      <c r="I11" s="63">
        <f t="shared" si="0"/>
        <v>80.75</v>
      </c>
      <c r="J11" s="59" t="str">
        <f t="shared" si="1"/>
        <v>יום שני</v>
      </c>
      <c r="K11" s="64">
        <f t="shared" si="2"/>
        <v>44370</v>
      </c>
      <c r="L11" s="59">
        <f>VLOOKUP(WEEKDAY(A11),'[1]נתונים נוספים'!$C$4:$J$6,VLOOKUP('חתירה למטרה 2'!D11,'[1]נתונים נוספים'!$M$9:$N$15,2,FALSE),TRUE)*'חתירה למטרה 2'!I11</f>
        <v>1.615</v>
      </c>
    </row>
    <row r="12" spans="1:18" x14ac:dyDescent="0.25">
      <c r="A12" s="60">
        <v>44165</v>
      </c>
      <c r="B12" s="61" t="s">
        <v>162</v>
      </c>
      <c r="C12" s="61" t="s">
        <v>186</v>
      </c>
      <c r="D12" s="61" t="s">
        <v>173</v>
      </c>
      <c r="E12" s="61">
        <v>399</v>
      </c>
      <c r="F12" s="61">
        <v>19</v>
      </c>
      <c r="G12" s="61" t="s">
        <v>168</v>
      </c>
      <c r="H12" s="62">
        <v>379.05</v>
      </c>
      <c r="I12" s="63">
        <f t="shared" si="0"/>
        <v>7201.95</v>
      </c>
      <c r="J12" s="59" t="str">
        <f t="shared" si="1"/>
        <v>יום שני</v>
      </c>
      <c r="K12" s="64">
        <f t="shared" si="2"/>
        <v>44255</v>
      </c>
      <c r="L12" s="59">
        <f>VLOOKUP(WEEKDAY(A12),'[1]נתונים נוספים'!$C$4:$J$6,VLOOKUP('חתירה למטרה 2'!D12,'[1]נתונים נוספים'!$M$9:$N$15,2,FALSE),TRUE)*'חתירה למטרה 2'!I12</f>
        <v>360.09750000000003</v>
      </c>
    </row>
    <row r="13" spans="1:18" x14ac:dyDescent="0.25">
      <c r="A13" s="60">
        <v>44077</v>
      </c>
      <c r="B13" s="61" t="s">
        <v>101</v>
      </c>
      <c r="C13" s="61" t="s">
        <v>187</v>
      </c>
      <c r="D13" s="61" t="s">
        <v>177</v>
      </c>
      <c r="E13" s="61">
        <v>99</v>
      </c>
      <c r="F13" s="61">
        <v>20</v>
      </c>
      <c r="G13" s="61" t="s">
        <v>188</v>
      </c>
      <c r="H13" s="62">
        <v>435.6</v>
      </c>
      <c r="I13" s="63">
        <f t="shared" si="0"/>
        <v>1544.4</v>
      </c>
      <c r="J13" s="59" t="str">
        <f t="shared" si="1"/>
        <v>יום חמישי</v>
      </c>
      <c r="K13" s="64">
        <f t="shared" si="2"/>
        <v>44117</v>
      </c>
      <c r="L13" s="59">
        <f>VLOOKUP(WEEKDAY(A13),'[1]נתונים נוספים'!$C$4:$J$6,VLOOKUP('חתירה למטרה 2'!D13,'[1]נתונים נוספים'!$M$9:$N$15,2,FALSE),TRUE)*'חתירה למטרה 2'!I13</f>
        <v>61.776000000000003</v>
      </c>
      <c r="P13" s="201">
        <f>AVERAGE(R4:R10)</f>
        <v>25499.999999999996</v>
      </c>
      <c r="Q13" s="201" t="s">
        <v>391</v>
      </c>
    </row>
    <row r="14" spans="1:18" x14ac:dyDescent="0.25">
      <c r="A14" s="60">
        <v>44100</v>
      </c>
      <c r="B14" s="61" t="s">
        <v>162</v>
      </c>
      <c r="C14" s="61" t="s">
        <v>176</v>
      </c>
      <c r="D14" s="61" t="s">
        <v>177</v>
      </c>
      <c r="E14" s="61">
        <v>899</v>
      </c>
      <c r="F14" s="61">
        <v>18</v>
      </c>
      <c r="G14" s="61" t="s">
        <v>168</v>
      </c>
      <c r="H14" s="62">
        <v>2103.66</v>
      </c>
      <c r="I14" s="63">
        <f t="shared" si="0"/>
        <v>14078.34</v>
      </c>
      <c r="J14" s="59" t="str">
        <f t="shared" si="1"/>
        <v>שבת</v>
      </c>
      <c r="K14" s="64">
        <f t="shared" si="2"/>
        <v>44190</v>
      </c>
      <c r="L14" s="59">
        <f>VLOOKUP(WEEKDAY(A14),'[1]נתונים נוספים'!$C$4:$J$6,VLOOKUP('חתירה למטרה 2'!D14,'[1]נתונים נוספים'!$M$9:$N$15,2,FALSE),TRUE)*'חתירה למטרה 2'!I14</f>
        <v>0</v>
      </c>
    </row>
    <row r="15" spans="1:18" x14ac:dyDescent="0.25">
      <c r="A15" s="60">
        <v>44098</v>
      </c>
      <c r="B15" s="61" t="s">
        <v>162</v>
      </c>
      <c r="C15" s="61" t="s">
        <v>169</v>
      </c>
      <c r="D15" s="61" t="s">
        <v>160</v>
      </c>
      <c r="E15" s="61">
        <v>229</v>
      </c>
      <c r="F15" s="61">
        <v>3</v>
      </c>
      <c r="G15" s="61" t="s">
        <v>189</v>
      </c>
      <c r="H15" s="62">
        <v>164.88</v>
      </c>
      <c r="I15" s="63">
        <f t="shared" si="0"/>
        <v>522.12</v>
      </c>
      <c r="J15" s="59" t="str">
        <f t="shared" si="1"/>
        <v>יום חמישי</v>
      </c>
      <c r="K15" s="64">
        <f t="shared" si="2"/>
        <v>44188</v>
      </c>
      <c r="L15" s="59">
        <f>VLOOKUP(WEEKDAY(A15),'[1]נתונים נוספים'!$C$4:$J$6,VLOOKUP('חתירה למטרה 2'!D15,'[1]נתונים נוספים'!$M$9:$N$15,2,FALSE),TRUE)*'חתירה למטרה 2'!I15</f>
        <v>57.433199999999999</v>
      </c>
    </row>
    <row r="16" spans="1:18" x14ac:dyDescent="0.25">
      <c r="A16" s="60">
        <v>44004</v>
      </c>
      <c r="B16" s="61" t="s">
        <v>175</v>
      </c>
      <c r="C16" s="61" t="s">
        <v>190</v>
      </c>
      <c r="D16" s="61" t="s">
        <v>191</v>
      </c>
      <c r="E16" s="61">
        <v>280</v>
      </c>
      <c r="F16" s="61">
        <v>4</v>
      </c>
      <c r="G16" s="61" t="s">
        <v>192</v>
      </c>
      <c r="H16" s="62">
        <v>201.6</v>
      </c>
      <c r="I16" s="63">
        <f t="shared" si="0"/>
        <v>918.4</v>
      </c>
      <c r="J16" s="59" t="str">
        <f t="shared" si="1"/>
        <v>יום שני</v>
      </c>
      <c r="K16" s="64">
        <f t="shared" si="2"/>
        <v>44034</v>
      </c>
      <c r="L16" s="59">
        <f>VLOOKUP(WEEKDAY(A16),'[1]נתונים נוספים'!$C$4:$J$6,VLOOKUP('חתירה למטרה 2'!D16,'[1]נתונים נוספים'!$M$9:$N$15,2,FALSE),TRUE)*'חתירה למטרה 2'!I16</f>
        <v>9.1839999999999993</v>
      </c>
    </row>
    <row r="17" spans="1:17" x14ac:dyDescent="0.25">
      <c r="A17" s="60">
        <v>44214</v>
      </c>
      <c r="B17" s="61" t="s">
        <v>175</v>
      </c>
      <c r="C17" s="61" t="s">
        <v>190</v>
      </c>
      <c r="D17" s="61" t="s">
        <v>191</v>
      </c>
      <c r="E17" s="61">
        <v>280</v>
      </c>
      <c r="F17" s="61">
        <v>7</v>
      </c>
      <c r="G17" s="61" t="s">
        <v>193</v>
      </c>
      <c r="H17" s="62">
        <v>431.2</v>
      </c>
      <c r="I17" s="63">
        <f t="shared" si="0"/>
        <v>1528.8</v>
      </c>
      <c r="J17" s="59" t="str">
        <f t="shared" si="1"/>
        <v>יום שני</v>
      </c>
      <c r="K17" s="64">
        <f t="shared" si="2"/>
        <v>44234</v>
      </c>
      <c r="L17" s="59">
        <f>VLOOKUP(WEEKDAY(A17),'[1]נתונים נוספים'!$C$4:$J$6,VLOOKUP('חתירה למטרה 2'!D17,'[1]נתונים נוספים'!$M$9:$N$15,2,FALSE),TRUE)*'חתירה למטרה 2'!I17</f>
        <v>15.288</v>
      </c>
      <c r="P17" s="55" t="s">
        <v>166</v>
      </c>
      <c r="Q17" s="55" t="s">
        <v>271</v>
      </c>
    </row>
    <row r="18" spans="1:17" x14ac:dyDescent="0.25">
      <c r="A18" s="60">
        <v>44219</v>
      </c>
      <c r="B18" s="61" t="s">
        <v>162</v>
      </c>
      <c r="C18" s="61" t="s">
        <v>163</v>
      </c>
      <c r="D18" s="61" t="s">
        <v>164</v>
      </c>
      <c r="E18" s="61">
        <v>139</v>
      </c>
      <c r="F18" s="61">
        <v>28</v>
      </c>
      <c r="G18" s="61" t="s">
        <v>168</v>
      </c>
      <c r="H18" s="62">
        <v>1011.9200000000001</v>
      </c>
      <c r="I18" s="63">
        <f t="shared" si="0"/>
        <v>2880.08</v>
      </c>
      <c r="J18" s="59" t="str">
        <f t="shared" si="1"/>
        <v>שבת</v>
      </c>
      <c r="K18" s="64">
        <f t="shared" si="2"/>
        <v>44309</v>
      </c>
      <c r="L18" s="59">
        <f>VLOOKUP(WEEKDAY(A18),'[1]נתונים נוספים'!$C$4:$J$6,VLOOKUP('חתירה למטרה 2'!D18,'[1]נתונים נוספים'!$M$9:$N$15,2,FALSE),TRUE)*'חתירה למטרה 2'!I18</f>
        <v>158.40440000000001</v>
      </c>
      <c r="P18" s="61" t="s">
        <v>101</v>
      </c>
      <c r="Q18" s="183">
        <v>0.1</v>
      </c>
    </row>
    <row r="19" spans="1:17" x14ac:dyDescent="0.25">
      <c r="A19" s="60">
        <v>44127</v>
      </c>
      <c r="B19" s="61" t="s">
        <v>175</v>
      </c>
      <c r="C19" s="61" t="s">
        <v>159</v>
      </c>
      <c r="D19" s="61" t="s">
        <v>160</v>
      </c>
      <c r="E19" s="61">
        <v>299</v>
      </c>
      <c r="F19" s="61">
        <v>29</v>
      </c>
      <c r="G19" s="61" t="s">
        <v>193</v>
      </c>
      <c r="H19" s="62">
        <v>1994.3300000000002</v>
      </c>
      <c r="I19" s="63">
        <f t="shared" si="0"/>
        <v>6676.67</v>
      </c>
      <c r="J19" s="59" t="str">
        <f t="shared" si="1"/>
        <v>יום שישי</v>
      </c>
      <c r="K19" s="64">
        <f t="shared" si="2"/>
        <v>44167</v>
      </c>
      <c r="L19" s="59">
        <f>VLOOKUP(WEEKDAY(A19),'[1]נתונים נוספים'!$C$4:$J$6,VLOOKUP('חתירה למטרה 2'!D19,'[1]נתונים נוספים'!$M$9:$N$15,2,FALSE),TRUE)*'חתירה למטרה 2'!I19</f>
        <v>0</v>
      </c>
      <c r="P19" s="61" t="s">
        <v>162</v>
      </c>
      <c r="Q19" s="184">
        <v>0.25</v>
      </c>
    </row>
    <row r="20" spans="1:17" x14ac:dyDescent="0.25">
      <c r="A20" s="60">
        <v>44248</v>
      </c>
      <c r="B20" s="61" t="s">
        <v>178</v>
      </c>
      <c r="C20" s="61" t="s">
        <v>194</v>
      </c>
      <c r="D20" s="61" t="s">
        <v>164</v>
      </c>
      <c r="E20" s="61">
        <v>75</v>
      </c>
      <c r="F20" s="61">
        <v>31</v>
      </c>
      <c r="G20" s="61" t="s">
        <v>195</v>
      </c>
      <c r="H20" s="62">
        <v>348.75</v>
      </c>
      <c r="I20" s="63">
        <f t="shared" si="0"/>
        <v>1976.25</v>
      </c>
      <c r="J20" s="59" t="str">
        <f t="shared" si="1"/>
        <v>יום ראשון</v>
      </c>
      <c r="K20" s="64">
        <f t="shared" si="2"/>
        <v>44268</v>
      </c>
      <c r="L20" s="59">
        <f>VLOOKUP(WEEKDAY(A20),'[1]נתונים נוספים'!$C$4:$J$6,VLOOKUP('חתירה למטרה 2'!D20,'[1]נתונים נוספים'!$M$9:$N$15,2,FALSE),TRUE)*'חתירה למטרה 2'!I20</f>
        <v>0</v>
      </c>
      <c r="P20" s="61" t="s">
        <v>82</v>
      </c>
      <c r="Q20" s="184">
        <v>0.13</v>
      </c>
    </row>
    <row r="21" spans="1:17" x14ac:dyDescent="0.25">
      <c r="A21" s="60">
        <v>44345</v>
      </c>
      <c r="B21" s="61" t="s">
        <v>162</v>
      </c>
      <c r="C21" s="61" t="s">
        <v>187</v>
      </c>
      <c r="D21" s="61" t="s">
        <v>177</v>
      </c>
      <c r="E21" s="61">
        <v>99</v>
      </c>
      <c r="F21" s="61">
        <v>7</v>
      </c>
      <c r="G21" s="61" t="s">
        <v>183</v>
      </c>
      <c r="H21" s="62">
        <v>166.32</v>
      </c>
      <c r="I21" s="63">
        <f t="shared" si="0"/>
        <v>526.68000000000006</v>
      </c>
      <c r="J21" s="59" t="str">
        <f t="shared" si="1"/>
        <v>שבת</v>
      </c>
      <c r="K21" s="64">
        <f t="shared" si="2"/>
        <v>44435</v>
      </c>
      <c r="L21" s="59">
        <f>VLOOKUP(WEEKDAY(A21),'[1]נתונים נוספים'!$C$4:$J$6,VLOOKUP('חתירה למטרה 2'!D21,'[1]נתונים נוספים'!$M$9:$N$15,2,FALSE),TRUE)*'חתירה למטרה 2'!I21</f>
        <v>0</v>
      </c>
      <c r="P21" s="61" t="s">
        <v>175</v>
      </c>
      <c r="Q21" s="184">
        <v>0.05</v>
      </c>
    </row>
    <row r="22" spans="1:17" x14ac:dyDescent="0.25">
      <c r="A22" s="60">
        <v>44143</v>
      </c>
      <c r="B22" s="61" t="s">
        <v>175</v>
      </c>
      <c r="C22" s="61" t="s">
        <v>179</v>
      </c>
      <c r="D22" s="61" t="s">
        <v>180</v>
      </c>
      <c r="E22" s="61">
        <v>499</v>
      </c>
      <c r="F22" s="61">
        <v>27</v>
      </c>
      <c r="G22" s="61" t="s">
        <v>196</v>
      </c>
      <c r="H22" s="62">
        <v>2829.33</v>
      </c>
      <c r="I22" s="63">
        <f t="shared" si="0"/>
        <v>10643.67</v>
      </c>
      <c r="J22" s="59" t="str">
        <f t="shared" si="1"/>
        <v>יום ראשון</v>
      </c>
      <c r="K22" s="64">
        <f t="shared" si="2"/>
        <v>44183</v>
      </c>
      <c r="L22" s="59">
        <f>VLOOKUP(WEEKDAY(A22),'[1]נתונים נוספים'!$C$4:$J$6,VLOOKUP('חתירה למטרה 2'!D22,'[1]נתונים נוספים'!$M$9:$N$15,2,FALSE),TRUE)*'חתירה למטרה 2'!I22</f>
        <v>532.18349999999998</v>
      </c>
      <c r="P22" s="61" t="s">
        <v>178</v>
      </c>
      <c r="Q22" s="185">
        <v>0.44833875750497054</v>
      </c>
    </row>
    <row r="23" spans="1:17" x14ac:dyDescent="0.25">
      <c r="A23" s="60">
        <v>44276</v>
      </c>
      <c r="B23" s="61" t="s">
        <v>162</v>
      </c>
      <c r="C23" s="61" t="s">
        <v>176</v>
      </c>
      <c r="D23" s="61" t="s">
        <v>177</v>
      </c>
      <c r="E23" s="61">
        <v>899</v>
      </c>
      <c r="F23" s="61">
        <v>3</v>
      </c>
      <c r="G23" s="61" t="s">
        <v>168</v>
      </c>
      <c r="H23" s="62">
        <v>269.7</v>
      </c>
      <c r="I23" s="63">
        <f t="shared" si="0"/>
        <v>2427.3000000000002</v>
      </c>
      <c r="J23" s="59" t="str">
        <f t="shared" si="1"/>
        <v>יום ראשון</v>
      </c>
      <c r="K23" s="64">
        <f t="shared" si="2"/>
        <v>44366</v>
      </c>
      <c r="L23" s="59">
        <f>VLOOKUP(WEEKDAY(A23),'[1]נתונים נוספים'!$C$4:$J$6,VLOOKUP('חתירה למטרה 2'!D23,'[1]נתונים נוספים'!$M$9:$N$15,2,FALSE),TRUE)*'חתירה למטרה 2'!I23</f>
        <v>48.546000000000006</v>
      </c>
      <c r="P23" s="61" t="s">
        <v>60</v>
      </c>
      <c r="Q23" s="184">
        <v>0.18</v>
      </c>
    </row>
    <row r="24" spans="1:17" x14ac:dyDescent="0.25">
      <c r="A24" s="60">
        <v>44275</v>
      </c>
      <c r="B24" s="61" t="s">
        <v>162</v>
      </c>
      <c r="C24" s="61" t="s">
        <v>185</v>
      </c>
      <c r="D24" s="61" t="s">
        <v>177</v>
      </c>
      <c r="E24" s="61">
        <v>95</v>
      </c>
      <c r="F24" s="61">
        <v>18</v>
      </c>
      <c r="G24" s="61" t="s">
        <v>183</v>
      </c>
      <c r="H24" s="62">
        <v>153.9</v>
      </c>
      <c r="I24" s="63">
        <f t="shared" si="0"/>
        <v>1556.1</v>
      </c>
      <c r="J24" s="59" t="str">
        <f t="shared" si="1"/>
        <v>שבת</v>
      </c>
      <c r="K24" s="64">
        <f t="shared" si="2"/>
        <v>44365</v>
      </c>
      <c r="L24" s="59">
        <f>VLOOKUP(WEEKDAY(A24),'[1]נתונים נוספים'!$C$4:$J$6,VLOOKUP('חתירה למטרה 2'!D24,'[1]נתונים נוספים'!$M$9:$N$15,2,FALSE),TRUE)*'חתירה למטרה 2'!I24</f>
        <v>0</v>
      </c>
      <c r="P24" s="61" t="s">
        <v>184</v>
      </c>
      <c r="Q24" s="184">
        <v>0.12</v>
      </c>
    </row>
    <row r="25" spans="1:17" x14ac:dyDescent="0.25">
      <c r="A25" s="60">
        <v>44057</v>
      </c>
      <c r="B25" s="61" t="s">
        <v>175</v>
      </c>
      <c r="C25" s="61" t="s">
        <v>194</v>
      </c>
      <c r="D25" s="61" t="s">
        <v>164</v>
      </c>
      <c r="E25" s="61">
        <v>75</v>
      </c>
      <c r="F25" s="61">
        <v>29</v>
      </c>
      <c r="G25" s="61" t="s">
        <v>196</v>
      </c>
      <c r="H25" s="62">
        <v>522</v>
      </c>
      <c r="I25" s="63">
        <f t="shared" si="0"/>
        <v>1653</v>
      </c>
      <c r="J25" s="59" t="str">
        <f t="shared" si="1"/>
        <v>יום שישי</v>
      </c>
      <c r="K25" s="64">
        <f t="shared" si="2"/>
        <v>44097</v>
      </c>
      <c r="L25" s="59">
        <f>VLOOKUP(WEEKDAY(A25),'[1]נתונים נוספים'!$C$4:$J$6,VLOOKUP('חתירה למטרה 2'!D25,'[1]נתונים נוספים'!$M$9:$N$15,2,FALSE),TRUE)*'חתירה למטרה 2'!I25</f>
        <v>90.915000000000006</v>
      </c>
    </row>
    <row r="26" spans="1:17" x14ac:dyDescent="0.25">
      <c r="A26" s="60">
        <v>44161</v>
      </c>
      <c r="B26" s="61" t="s">
        <v>82</v>
      </c>
      <c r="C26" s="61" t="s">
        <v>163</v>
      </c>
      <c r="D26" s="61" t="s">
        <v>164</v>
      </c>
      <c r="E26" s="61">
        <v>139</v>
      </c>
      <c r="F26" s="61">
        <v>9</v>
      </c>
      <c r="G26" s="61" t="s">
        <v>197</v>
      </c>
      <c r="H26" s="62">
        <v>87.570000000000007</v>
      </c>
      <c r="I26" s="63">
        <f t="shared" si="0"/>
        <v>1163.43</v>
      </c>
      <c r="J26" s="59" t="str">
        <f t="shared" si="1"/>
        <v>יום חמישי</v>
      </c>
      <c r="K26" s="64">
        <f t="shared" si="2"/>
        <v>44201</v>
      </c>
      <c r="L26" s="59">
        <f>VLOOKUP(WEEKDAY(A26),'[1]נתונים נוספים'!$C$4:$J$6,VLOOKUP('חתירה למטרה 2'!D26,'[1]נתונים נוספים'!$M$9:$N$15,2,FALSE),TRUE)*'חתירה למטרה 2'!I26</f>
        <v>93.074400000000011</v>
      </c>
    </row>
    <row r="27" spans="1:17" x14ac:dyDescent="0.25">
      <c r="A27" s="60">
        <v>44176</v>
      </c>
      <c r="B27" s="61" t="s">
        <v>82</v>
      </c>
      <c r="C27" s="61" t="s">
        <v>169</v>
      </c>
      <c r="D27" s="61" t="s">
        <v>160</v>
      </c>
      <c r="E27" s="61">
        <v>229</v>
      </c>
      <c r="F27" s="61">
        <v>28</v>
      </c>
      <c r="G27" s="61" t="s">
        <v>170</v>
      </c>
      <c r="H27" s="62">
        <v>1667.1200000000001</v>
      </c>
      <c r="I27" s="63">
        <f t="shared" si="0"/>
        <v>4744.88</v>
      </c>
      <c r="J27" s="59" t="str">
        <f t="shared" si="1"/>
        <v>יום שישי</v>
      </c>
      <c r="K27" s="64">
        <f t="shared" si="2"/>
        <v>44226</v>
      </c>
      <c r="L27" s="59">
        <f>VLOOKUP(WEEKDAY(A27),'[1]נתונים נוספים'!$C$4:$J$6,VLOOKUP('חתירה למטרה 2'!D27,'[1]נתונים נוספים'!$M$9:$N$15,2,FALSE),TRUE)*'חתירה למטרה 2'!I27</f>
        <v>0</v>
      </c>
    </row>
    <row r="28" spans="1:17" x14ac:dyDescent="0.25">
      <c r="A28" s="60">
        <v>44247</v>
      </c>
      <c r="B28" s="61" t="s">
        <v>101</v>
      </c>
      <c r="C28" s="61" t="s">
        <v>172</v>
      </c>
      <c r="D28" s="61" t="s">
        <v>173</v>
      </c>
      <c r="E28" s="61">
        <v>175</v>
      </c>
      <c r="F28" s="61">
        <v>17</v>
      </c>
      <c r="G28" s="61" t="s">
        <v>188</v>
      </c>
      <c r="H28" s="62">
        <v>357</v>
      </c>
      <c r="I28" s="63">
        <f t="shared" si="0"/>
        <v>2618</v>
      </c>
      <c r="J28" s="59" t="str">
        <f t="shared" si="1"/>
        <v>שבת</v>
      </c>
      <c r="K28" s="64">
        <f t="shared" si="2"/>
        <v>44267</v>
      </c>
      <c r="L28" s="59">
        <f>VLOOKUP(WEEKDAY(A28),'[1]נתונים נוספים'!$C$4:$J$6,VLOOKUP('חתירה למטרה 2'!D28,'[1]נתונים נוספים'!$M$9:$N$15,2,FALSE),TRUE)*'חתירה למטרה 2'!I28</f>
        <v>65.45</v>
      </c>
    </row>
    <row r="29" spans="1:17" x14ac:dyDescent="0.25">
      <c r="A29" s="60">
        <v>44053</v>
      </c>
      <c r="B29" s="61" t="s">
        <v>101</v>
      </c>
      <c r="C29" s="61" t="s">
        <v>190</v>
      </c>
      <c r="D29" s="61" t="s">
        <v>191</v>
      </c>
      <c r="E29" s="61">
        <v>280</v>
      </c>
      <c r="F29" s="61">
        <v>17</v>
      </c>
      <c r="G29" s="61" t="s">
        <v>161</v>
      </c>
      <c r="H29" s="62">
        <v>380.8</v>
      </c>
      <c r="I29" s="63">
        <f>E29*F29-H29</f>
        <v>4379.2</v>
      </c>
      <c r="J29" s="59" t="str">
        <f t="shared" si="1"/>
        <v>יום שני</v>
      </c>
      <c r="K29" s="64">
        <f t="shared" si="2"/>
        <v>44093</v>
      </c>
      <c r="L29" s="59">
        <f>VLOOKUP(WEEKDAY(A29),'[1]נתונים נוספים'!$C$4:$J$6,VLOOKUP('חתירה למטרה 2'!D29,'[1]נתונים נוספים'!$M$9:$N$15,2,FALSE),TRUE)*'חתירה למטרה 2'!I29</f>
        <v>43.792000000000002</v>
      </c>
    </row>
    <row r="30" spans="1:17" x14ac:dyDescent="0.25">
      <c r="A30" s="60">
        <v>44316</v>
      </c>
      <c r="B30" s="61" t="s">
        <v>82</v>
      </c>
      <c r="C30" s="61" t="s">
        <v>198</v>
      </c>
      <c r="D30" s="61" t="s">
        <v>180</v>
      </c>
      <c r="E30" s="61">
        <v>629</v>
      </c>
      <c r="F30" s="61">
        <v>28</v>
      </c>
      <c r="G30" s="61" t="s">
        <v>199</v>
      </c>
      <c r="H30" s="62">
        <v>4579.12</v>
      </c>
      <c r="I30" s="63">
        <f t="shared" si="0"/>
        <v>13032.880000000001</v>
      </c>
      <c r="J30" s="59" t="str">
        <f t="shared" si="1"/>
        <v>יום שישי</v>
      </c>
      <c r="K30" s="64">
        <f t="shared" si="2"/>
        <v>44346</v>
      </c>
      <c r="L30" s="59">
        <f>VLOOKUP(WEEKDAY(A30),'[1]נתונים נוספים'!$C$4:$J$6,VLOOKUP('חתירה למטרה 2'!D30,'[1]נתונים נוספים'!$M$9:$N$15,2,FALSE),TRUE)*'חתירה למטרה 2'!I30</f>
        <v>781.97280000000001</v>
      </c>
    </row>
    <row r="31" spans="1:17" x14ac:dyDescent="0.25">
      <c r="A31" s="60">
        <v>44148</v>
      </c>
      <c r="B31" s="61" t="s">
        <v>162</v>
      </c>
      <c r="C31" s="61" t="s">
        <v>200</v>
      </c>
      <c r="D31" s="61" t="s">
        <v>177</v>
      </c>
      <c r="E31" s="61">
        <v>350</v>
      </c>
      <c r="F31" s="61">
        <v>10</v>
      </c>
      <c r="G31" s="61" t="s">
        <v>165</v>
      </c>
      <c r="H31" s="62">
        <v>630</v>
      </c>
      <c r="I31" s="63">
        <f t="shared" si="0"/>
        <v>2870</v>
      </c>
      <c r="J31" s="59" t="str">
        <f t="shared" si="1"/>
        <v>יום שישי</v>
      </c>
      <c r="K31" s="64">
        <f t="shared" si="2"/>
        <v>44238</v>
      </c>
      <c r="L31" s="59">
        <f>VLOOKUP(WEEKDAY(A31),'[1]נתונים נוספים'!$C$4:$J$6,VLOOKUP('חתירה למטרה 2'!D31,'[1]נתונים נוספים'!$M$9:$N$15,2,FALSE),TRUE)*'חתירה למטרה 2'!I31</f>
        <v>0</v>
      </c>
    </row>
    <row r="32" spans="1:17" x14ac:dyDescent="0.25">
      <c r="A32" s="60">
        <v>44065</v>
      </c>
      <c r="B32" s="61" t="s">
        <v>82</v>
      </c>
      <c r="C32" s="61" t="s">
        <v>159</v>
      </c>
      <c r="D32" s="61" t="s">
        <v>160</v>
      </c>
      <c r="E32" s="61">
        <v>299</v>
      </c>
      <c r="F32" s="61">
        <v>27</v>
      </c>
      <c r="G32" s="61" t="s">
        <v>170</v>
      </c>
      <c r="H32" s="62">
        <v>1533.8700000000001</v>
      </c>
      <c r="I32" s="63">
        <f t="shared" si="0"/>
        <v>6539.13</v>
      </c>
      <c r="J32" s="59" t="str">
        <f t="shared" si="1"/>
        <v>שבת</v>
      </c>
      <c r="K32" s="64">
        <f t="shared" si="2"/>
        <v>44105</v>
      </c>
      <c r="L32" s="59">
        <f>VLOOKUP(WEEKDAY(A32),'[1]נתונים נוספים'!$C$4:$J$6,VLOOKUP('חתירה למטרה 2'!D32,'[1]נתונים נוספים'!$M$9:$N$15,2,FALSE),TRUE)*'חתירה למטרה 2'!I32</f>
        <v>0</v>
      </c>
    </row>
    <row r="33" spans="1:12" x14ac:dyDescent="0.25">
      <c r="A33" s="60">
        <v>44119</v>
      </c>
      <c r="B33" s="61" t="s">
        <v>162</v>
      </c>
      <c r="C33" s="61" t="s">
        <v>172</v>
      </c>
      <c r="D33" s="61" t="s">
        <v>173</v>
      </c>
      <c r="E33" s="61">
        <v>175</v>
      </c>
      <c r="F33" s="61">
        <v>13</v>
      </c>
      <c r="G33" s="61" t="s">
        <v>183</v>
      </c>
      <c r="H33" s="62">
        <v>182</v>
      </c>
      <c r="I33" s="63">
        <f t="shared" si="0"/>
        <v>2093</v>
      </c>
      <c r="J33" s="59" t="str">
        <f t="shared" si="1"/>
        <v>יום חמישי</v>
      </c>
      <c r="K33" s="64">
        <f t="shared" si="2"/>
        <v>44209</v>
      </c>
      <c r="L33" s="59">
        <f>VLOOKUP(WEEKDAY(A33),'[1]נתונים נוספים'!$C$4:$J$6,VLOOKUP('חתירה למטרה 2'!D33,'[1]נתונים נוספים'!$M$9:$N$15,2,FALSE),TRUE)*'חתירה למטרה 2'!I33</f>
        <v>0</v>
      </c>
    </row>
    <row r="34" spans="1:12" x14ac:dyDescent="0.25">
      <c r="A34" s="60">
        <v>44225</v>
      </c>
      <c r="B34" s="61" t="s">
        <v>101</v>
      </c>
      <c r="C34" s="61" t="s">
        <v>186</v>
      </c>
      <c r="D34" s="61" t="s">
        <v>173</v>
      </c>
      <c r="E34" s="61">
        <v>399</v>
      </c>
      <c r="F34" s="61">
        <v>12</v>
      </c>
      <c r="G34" s="61" t="s">
        <v>188</v>
      </c>
      <c r="H34" s="62">
        <v>1053.3599999999999</v>
      </c>
      <c r="I34" s="63">
        <f t="shared" si="0"/>
        <v>3734.6400000000003</v>
      </c>
      <c r="J34" s="59" t="str">
        <f t="shared" si="1"/>
        <v>יום שישי</v>
      </c>
      <c r="K34" s="64">
        <f t="shared" si="2"/>
        <v>44245</v>
      </c>
      <c r="L34" s="59">
        <f>VLOOKUP(WEEKDAY(A34),'[1]נתונים נוספים'!$C$4:$J$6,VLOOKUP('חתירה למטרה 2'!D34,'[1]נתונים נוספים'!$M$9:$N$15,2,FALSE),TRUE)*'חתירה למטרה 2'!I34</f>
        <v>93.366000000000014</v>
      </c>
    </row>
    <row r="35" spans="1:12" x14ac:dyDescent="0.25">
      <c r="A35" s="60">
        <v>44274</v>
      </c>
      <c r="B35" s="61" t="s">
        <v>162</v>
      </c>
      <c r="C35" s="61" t="s">
        <v>198</v>
      </c>
      <c r="D35" s="61" t="s">
        <v>180</v>
      </c>
      <c r="E35" s="61">
        <v>629</v>
      </c>
      <c r="F35" s="61">
        <v>4</v>
      </c>
      <c r="G35" s="61" t="s">
        <v>183</v>
      </c>
      <c r="H35" s="62">
        <v>503.20000000000005</v>
      </c>
      <c r="I35" s="63">
        <f t="shared" si="0"/>
        <v>2012.8</v>
      </c>
      <c r="J35" s="59" t="str">
        <f t="shared" si="1"/>
        <v>יום שישי</v>
      </c>
      <c r="K35" s="64">
        <f t="shared" si="2"/>
        <v>44364</v>
      </c>
      <c r="L35" s="59">
        <f>VLOOKUP(WEEKDAY(A35),'[1]נתונים נוספים'!$C$4:$J$6,VLOOKUP('חתירה למטרה 2'!D35,'[1]נתונים נוספים'!$M$9:$N$15,2,FALSE),TRUE)*'חתירה למטרה 2'!I35</f>
        <v>120.76799999999999</v>
      </c>
    </row>
    <row r="36" spans="1:12" x14ac:dyDescent="0.25">
      <c r="A36" s="60">
        <v>44262</v>
      </c>
      <c r="B36" s="61" t="s">
        <v>82</v>
      </c>
      <c r="C36" s="61" t="s">
        <v>159</v>
      </c>
      <c r="D36" s="61" t="s">
        <v>160</v>
      </c>
      <c r="E36" s="61">
        <v>299</v>
      </c>
      <c r="F36" s="61">
        <v>1</v>
      </c>
      <c r="G36" s="61" t="s">
        <v>201</v>
      </c>
      <c r="H36" s="62">
        <v>74.75</v>
      </c>
      <c r="I36" s="63">
        <f t="shared" si="0"/>
        <v>224.25</v>
      </c>
      <c r="J36" s="59" t="str">
        <f t="shared" si="1"/>
        <v>יום ראשון</v>
      </c>
      <c r="K36" s="64">
        <f t="shared" si="2"/>
        <v>44282</v>
      </c>
      <c r="L36" s="59">
        <f>VLOOKUP(WEEKDAY(A36),'[1]נתונים נוספים'!$C$4:$J$6,VLOOKUP('חתירה למטרה 2'!D36,'[1]נתונים נוספים'!$M$9:$N$15,2,FALSE),TRUE)*'חתירה למטרה 2'!I36</f>
        <v>6.7275</v>
      </c>
    </row>
    <row r="37" spans="1:12" x14ac:dyDescent="0.25">
      <c r="A37" s="60">
        <v>44142</v>
      </c>
      <c r="B37" s="61" t="s">
        <v>101</v>
      </c>
      <c r="C37" s="61" t="s">
        <v>194</v>
      </c>
      <c r="D37" s="61" t="s">
        <v>164</v>
      </c>
      <c r="E37" s="61">
        <v>75</v>
      </c>
      <c r="F37" s="61">
        <v>9</v>
      </c>
      <c r="G37" s="61" t="s">
        <v>188</v>
      </c>
      <c r="H37" s="62">
        <v>121.5</v>
      </c>
      <c r="I37" s="63">
        <f t="shared" si="0"/>
        <v>553.5</v>
      </c>
      <c r="J37" s="59" t="str">
        <f t="shared" si="1"/>
        <v>שבת</v>
      </c>
      <c r="K37" s="64">
        <f t="shared" si="2"/>
        <v>44182</v>
      </c>
      <c r="L37" s="59">
        <f>VLOOKUP(WEEKDAY(A37),'[1]נתונים נוספים'!$C$4:$J$6,VLOOKUP('חתירה למטרה 2'!D37,'[1]נתונים נוספים'!$M$9:$N$15,2,FALSE),TRUE)*'חתירה למטרה 2'!I37</f>
        <v>30.442499999999999</v>
      </c>
    </row>
    <row r="38" spans="1:12" x14ac:dyDescent="0.25">
      <c r="A38" s="60">
        <v>44129</v>
      </c>
      <c r="B38" s="61" t="s">
        <v>162</v>
      </c>
      <c r="C38" s="61" t="s">
        <v>202</v>
      </c>
      <c r="D38" s="61" t="s">
        <v>177</v>
      </c>
      <c r="E38" s="61">
        <v>599</v>
      </c>
      <c r="F38" s="61">
        <v>21</v>
      </c>
      <c r="G38" s="61" t="s">
        <v>183</v>
      </c>
      <c r="H38" s="62">
        <v>3018.96</v>
      </c>
      <c r="I38" s="63">
        <f t="shared" si="0"/>
        <v>9560.0400000000009</v>
      </c>
      <c r="J38" s="59" t="str">
        <f t="shared" si="1"/>
        <v>יום ראשון</v>
      </c>
      <c r="K38" s="64">
        <f t="shared" si="2"/>
        <v>44219</v>
      </c>
      <c r="L38" s="59">
        <f>VLOOKUP(WEEKDAY(A38),'[1]נתונים נוספים'!$C$4:$J$6,VLOOKUP('חתירה למטרה 2'!D38,'[1]נתונים נוספים'!$M$9:$N$15,2,FALSE),TRUE)*'חתירה למטרה 2'!I38</f>
        <v>191.20080000000002</v>
      </c>
    </row>
    <row r="39" spans="1:12" x14ac:dyDescent="0.25">
      <c r="A39" s="60">
        <v>44183</v>
      </c>
      <c r="B39" s="61" t="s">
        <v>162</v>
      </c>
      <c r="C39" s="61" t="s">
        <v>163</v>
      </c>
      <c r="D39" s="61" t="s">
        <v>164</v>
      </c>
      <c r="E39" s="61">
        <v>139</v>
      </c>
      <c r="F39" s="61">
        <v>32</v>
      </c>
      <c r="G39" s="61" t="s">
        <v>183</v>
      </c>
      <c r="H39" s="62">
        <v>978.56000000000006</v>
      </c>
      <c r="I39" s="63">
        <f t="shared" si="0"/>
        <v>3469.44</v>
      </c>
      <c r="J39" s="59" t="str">
        <f t="shared" si="1"/>
        <v>יום שישי</v>
      </c>
      <c r="K39" s="64">
        <f t="shared" si="2"/>
        <v>44273</v>
      </c>
      <c r="L39" s="59">
        <f>VLOOKUP(WEEKDAY(A39),'[1]נתונים נוספים'!$C$4:$J$6,VLOOKUP('חתירה למטרה 2'!D39,'[1]נתונים נוספים'!$M$9:$N$15,2,FALSE),TRUE)*'חתירה למטרה 2'!I39</f>
        <v>190.8192</v>
      </c>
    </row>
    <row r="40" spans="1:12" x14ac:dyDescent="0.25">
      <c r="A40" s="60">
        <v>44204</v>
      </c>
      <c r="B40" s="61" t="s">
        <v>162</v>
      </c>
      <c r="C40" s="61" t="s">
        <v>163</v>
      </c>
      <c r="D40" s="61" t="s">
        <v>164</v>
      </c>
      <c r="E40" s="61">
        <v>139</v>
      </c>
      <c r="F40" s="61">
        <v>20</v>
      </c>
      <c r="G40" s="61" t="s">
        <v>183</v>
      </c>
      <c r="H40" s="62">
        <v>472.6</v>
      </c>
      <c r="I40" s="63">
        <f t="shared" si="0"/>
        <v>2307.4</v>
      </c>
      <c r="J40" s="59" t="str">
        <f t="shared" si="1"/>
        <v>יום שישי</v>
      </c>
      <c r="K40" s="64">
        <f t="shared" si="2"/>
        <v>44294</v>
      </c>
      <c r="L40" s="59">
        <f>VLOOKUP(WEEKDAY(A40),'[1]נתונים נוספים'!$C$4:$J$6,VLOOKUP('חתירה למטרה 2'!D40,'[1]נתונים נוספים'!$M$9:$N$15,2,FALSE),TRUE)*'חתירה למטרה 2'!I40</f>
        <v>126.90700000000001</v>
      </c>
    </row>
    <row r="41" spans="1:12" x14ac:dyDescent="0.25">
      <c r="A41" s="60">
        <v>44037</v>
      </c>
      <c r="B41" s="61" t="s">
        <v>162</v>
      </c>
      <c r="C41" s="61" t="s">
        <v>169</v>
      </c>
      <c r="D41" s="61" t="s">
        <v>160</v>
      </c>
      <c r="E41" s="61">
        <v>229</v>
      </c>
      <c r="F41" s="61">
        <v>31</v>
      </c>
      <c r="G41" s="61" t="s">
        <v>168</v>
      </c>
      <c r="H41" s="62">
        <v>425.94</v>
      </c>
      <c r="I41" s="63">
        <f t="shared" si="0"/>
        <v>6673.06</v>
      </c>
      <c r="J41" s="59" t="str">
        <f t="shared" si="1"/>
        <v>שבת</v>
      </c>
      <c r="K41" s="64">
        <f t="shared" si="2"/>
        <v>44127</v>
      </c>
      <c r="L41" s="59">
        <f>VLOOKUP(WEEKDAY(A41),'[1]נתונים נוספים'!$C$4:$J$6,VLOOKUP('חתירה למטרה 2'!D41,'[1]נתונים נוספים'!$M$9:$N$15,2,FALSE),TRUE)*'חתירה למטרה 2'!I41</f>
        <v>0</v>
      </c>
    </row>
    <row r="42" spans="1:12" x14ac:dyDescent="0.25">
      <c r="A42" s="60">
        <v>44228</v>
      </c>
      <c r="B42" s="61" t="s">
        <v>175</v>
      </c>
      <c r="C42" s="61" t="s">
        <v>185</v>
      </c>
      <c r="D42" s="61" t="s">
        <v>177</v>
      </c>
      <c r="E42" s="61">
        <v>95</v>
      </c>
      <c r="F42" s="61">
        <v>13</v>
      </c>
      <c r="G42" s="61" t="s">
        <v>196</v>
      </c>
      <c r="H42" s="62">
        <v>308.75</v>
      </c>
      <c r="I42" s="63">
        <f t="shared" si="0"/>
        <v>926.25</v>
      </c>
      <c r="J42" s="59" t="str">
        <f t="shared" si="1"/>
        <v>יום שני</v>
      </c>
      <c r="K42" s="64">
        <f t="shared" si="2"/>
        <v>44248</v>
      </c>
      <c r="L42" s="59">
        <f>VLOOKUP(WEEKDAY(A42),'[1]נתונים נוספים'!$C$4:$J$6,VLOOKUP('חתירה למטרה 2'!D42,'[1]נתונים נוספים'!$M$9:$N$15,2,FALSE),TRUE)*'חתירה למטרה 2'!I42</f>
        <v>18.525000000000002</v>
      </c>
    </row>
    <row r="43" spans="1:12" x14ac:dyDescent="0.25">
      <c r="A43" s="60">
        <v>44287</v>
      </c>
      <c r="B43" s="61" t="s">
        <v>101</v>
      </c>
      <c r="C43" s="61" t="s">
        <v>200</v>
      </c>
      <c r="D43" s="61" t="s">
        <v>177</v>
      </c>
      <c r="E43" s="61">
        <v>350</v>
      </c>
      <c r="F43" s="61">
        <v>9</v>
      </c>
      <c r="G43" s="61" t="s">
        <v>161</v>
      </c>
      <c r="H43" s="62">
        <v>346.5</v>
      </c>
      <c r="I43" s="63">
        <f t="shared" si="0"/>
        <v>2803.5</v>
      </c>
      <c r="J43" s="59" t="str">
        <f t="shared" si="1"/>
        <v>יום חמישי</v>
      </c>
      <c r="K43" s="64">
        <f t="shared" si="2"/>
        <v>44317</v>
      </c>
      <c r="L43" s="59">
        <f>VLOOKUP(WEEKDAY(A43),'[1]נתונים נוספים'!$C$4:$J$6,VLOOKUP('חתירה למטרה 2'!D43,'[1]נתונים נוספים'!$M$9:$N$15,2,FALSE),TRUE)*'חתירה למטרה 2'!I43</f>
        <v>112.14</v>
      </c>
    </row>
    <row r="44" spans="1:12" x14ac:dyDescent="0.25">
      <c r="A44" s="60">
        <v>44134</v>
      </c>
      <c r="B44" s="61" t="s">
        <v>101</v>
      </c>
      <c r="C44" s="61" t="s">
        <v>179</v>
      </c>
      <c r="D44" s="61" t="s">
        <v>180</v>
      </c>
      <c r="E44" s="61">
        <v>499</v>
      </c>
      <c r="F44" s="61">
        <v>26</v>
      </c>
      <c r="G44" s="61" t="s">
        <v>174</v>
      </c>
      <c r="H44" s="62">
        <v>2335.3199999999997</v>
      </c>
      <c r="I44" s="63">
        <f t="shared" si="0"/>
        <v>10638.68</v>
      </c>
      <c r="J44" s="59" t="str">
        <f t="shared" si="1"/>
        <v>יום שישי</v>
      </c>
      <c r="K44" s="64">
        <f t="shared" si="2"/>
        <v>44174</v>
      </c>
      <c r="L44" s="59">
        <f>VLOOKUP(WEEKDAY(A44),'[1]נתונים נוספים'!$C$4:$J$6,VLOOKUP('חתירה למטרה 2'!D44,'[1]נתונים נוספים'!$M$9:$N$15,2,FALSE),TRUE)*'חתירה למטרה 2'!I44</f>
        <v>638.32079999999996</v>
      </c>
    </row>
    <row r="45" spans="1:12" x14ac:dyDescent="0.25">
      <c r="A45" s="60">
        <v>44309</v>
      </c>
      <c r="B45" s="61" t="s">
        <v>175</v>
      </c>
      <c r="C45" s="61" t="s">
        <v>186</v>
      </c>
      <c r="D45" s="61" t="s">
        <v>173</v>
      </c>
      <c r="E45" s="61">
        <v>399</v>
      </c>
      <c r="F45" s="61">
        <v>26</v>
      </c>
      <c r="G45" s="61" t="s">
        <v>203</v>
      </c>
      <c r="H45" s="62">
        <v>1141.1400000000001</v>
      </c>
      <c r="I45" s="63">
        <f t="shared" si="0"/>
        <v>9232.86</v>
      </c>
      <c r="J45" s="59" t="str">
        <f t="shared" si="1"/>
        <v>יום שישי</v>
      </c>
      <c r="K45" s="64">
        <f t="shared" si="2"/>
        <v>44339</v>
      </c>
      <c r="L45" s="59">
        <f>VLOOKUP(WEEKDAY(A45),'[1]נתונים נוספים'!$C$4:$J$6,VLOOKUP('חתירה למטרה 2'!D45,'[1]נתונים נוספים'!$M$9:$N$15,2,FALSE),TRUE)*'חתירה למטרה 2'!I45</f>
        <v>230.82150000000001</v>
      </c>
    </row>
    <row r="46" spans="1:12" x14ac:dyDescent="0.25">
      <c r="A46" s="60">
        <v>44304</v>
      </c>
      <c r="B46" s="61" t="s">
        <v>178</v>
      </c>
      <c r="C46" s="61" t="s">
        <v>204</v>
      </c>
      <c r="D46" s="61" t="s">
        <v>177</v>
      </c>
      <c r="E46" s="61">
        <v>555</v>
      </c>
      <c r="F46" s="61">
        <v>20</v>
      </c>
      <c r="G46" s="61" t="s">
        <v>205</v>
      </c>
      <c r="H46" s="62">
        <v>1554.0000000000002</v>
      </c>
      <c r="I46" s="63">
        <f t="shared" si="0"/>
        <v>9546</v>
      </c>
      <c r="J46" s="59" t="str">
        <f t="shared" si="1"/>
        <v>יום ראשון</v>
      </c>
      <c r="K46" s="64">
        <f t="shared" si="2"/>
        <v>44334</v>
      </c>
      <c r="L46" s="59">
        <f>VLOOKUP(WEEKDAY(A46),'[1]נתונים נוספים'!$C$4:$J$6,VLOOKUP('חתירה למטרה 2'!D46,'[1]נתונים נוספים'!$M$9:$N$15,2,FALSE),TRUE)*'חתירה למטרה 2'!I46</f>
        <v>190.92000000000002</v>
      </c>
    </row>
    <row r="47" spans="1:12" x14ac:dyDescent="0.25">
      <c r="A47" s="60">
        <v>44091</v>
      </c>
      <c r="B47" s="61" t="s">
        <v>82</v>
      </c>
      <c r="C47" s="61" t="s">
        <v>202</v>
      </c>
      <c r="D47" s="61" t="s">
        <v>177</v>
      </c>
      <c r="E47" s="61">
        <v>599</v>
      </c>
      <c r="F47" s="61">
        <v>13</v>
      </c>
      <c r="G47" s="61" t="s">
        <v>181</v>
      </c>
      <c r="H47" s="62">
        <v>545.09</v>
      </c>
      <c r="I47" s="63">
        <f t="shared" si="0"/>
        <v>7241.91</v>
      </c>
      <c r="J47" s="59" t="str">
        <f t="shared" si="1"/>
        <v>יום חמישי</v>
      </c>
      <c r="K47" s="64">
        <f t="shared" si="2"/>
        <v>44131</v>
      </c>
      <c r="L47" s="59">
        <f>VLOOKUP(WEEKDAY(A47),'[1]נתונים נוספים'!$C$4:$J$6,VLOOKUP('חתירה למטרה 2'!D47,'[1]נתונים נוספים'!$M$9:$N$15,2,FALSE),TRUE)*'חתירה למטרה 2'!I47</f>
        <v>289.6764</v>
      </c>
    </row>
    <row r="48" spans="1:12" x14ac:dyDescent="0.25">
      <c r="A48" s="60">
        <v>44358</v>
      </c>
      <c r="B48" s="61" t="s">
        <v>101</v>
      </c>
      <c r="C48" s="61" t="s">
        <v>190</v>
      </c>
      <c r="D48" s="61" t="s">
        <v>191</v>
      </c>
      <c r="E48" s="61">
        <v>280</v>
      </c>
      <c r="F48" s="61">
        <v>1</v>
      </c>
      <c r="G48" s="61" t="s">
        <v>206</v>
      </c>
      <c r="H48" s="62">
        <v>50.4</v>
      </c>
      <c r="I48" s="63">
        <f t="shared" si="0"/>
        <v>229.6</v>
      </c>
      <c r="J48" s="59" t="str">
        <f t="shared" si="1"/>
        <v>יום שישי</v>
      </c>
      <c r="K48" s="64">
        <f t="shared" si="2"/>
        <v>44388</v>
      </c>
      <c r="L48" s="59">
        <f>VLOOKUP(WEEKDAY(A48),'[1]נתונים נוספים'!$C$4:$J$6,VLOOKUP('חתירה למטרה 2'!D48,'[1]נתונים נוספים'!$M$9:$N$15,2,FALSE),TRUE)*'חתירה למטרה 2'!I48</f>
        <v>8.0360000000000014</v>
      </c>
    </row>
    <row r="49" spans="1:12" x14ac:dyDescent="0.25">
      <c r="A49" s="60">
        <v>44071</v>
      </c>
      <c r="B49" s="61" t="s">
        <v>162</v>
      </c>
      <c r="C49" s="61" t="s">
        <v>159</v>
      </c>
      <c r="D49" s="61" t="s">
        <v>160</v>
      </c>
      <c r="E49" s="61">
        <v>299</v>
      </c>
      <c r="F49" s="61">
        <v>2</v>
      </c>
      <c r="G49" s="61" t="s">
        <v>168</v>
      </c>
      <c r="H49" s="62">
        <v>101.66000000000001</v>
      </c>
      <c r="I49" s="63">
        <f t="shared" si="0"/>
        <v>496.34</v>
      </c>
      <c r="J49" s="59" t="str">
        <f t="shared" si="1"/>
        <v>יום שישי</v>
      </c>
      <c r="K49" s="64">
        <f t="shared" si="2"/>
        <v>44161</v>
      </c>
      <c r="L49" s="59">
        <f>VLOOKUP(WEEKDAY(A49),'[1]נתונים נוספים'!$C$4:$J$6,VLOOKUP('חתירה למטרה 2'!D49,'[1]נתונים נוספים'!$M$9:$N$15,2,FALSE),TRUE)*'חתירה למטרה 2'!I49</f>
        <v>0</v>
      </c>
    </row>
    <row r="50" spans="1:12" x14ac:dyDescent="0.25">
      <c r="A50" s="60">
        <v>44273</v>
      </c>
      <c r="B50" s="61" t="s">
        <v>178</v>
      </c>
      <c r="C50" s="61" t="s">
        <v>186</v>
      </c>
      <c r="D50" s="61" t="s">
        <v>173</v>
      </c>
      <c r="E50" s="61">
        <v>399</v>
      </c>
      <c r="F50" s="61">
        <v>33</v>
      </c>
      <c r="G50" s="61" t="s">
        <v>207</v>
      </c>
      <c r="H50" s="62">
        <v>1053.3600000000001</v>
      </c>
      <c r="I50" s="63">
        <f t="shared" si="0"/>
        <v>12113.64</v>
      </c>
      <c r="J50" s="59" t="str">
        <f t="shared" si="1"/>
        <v>יום חמישי</v>
      </c>
      <c r="K50" s="64">
        <f t="shared" si="2"/>
        <v>44293</v>
      </c>
      <c r="L50" s="59">
        <f>VLOOKUP(WEEKDAY(A50),'[1]נתונים נוספים'!$C$4:$J$6,VLOOKUP('חתירה למטרה 2'!D50,'[1]נתונים נוספים'!$M$9:$N$15,2,FALSE),TRUE)*'חתירה למטרה 2'!I50</f>
        <v>0</v>
      </c>
    </row>
    <row r="51" spans="1:12" x14ac:dyDescent="0.25">
      <c r="A51" s="60">
        <v>44317</v>
      </c>
      <c r="B51" s="61" t="s">
        <v>162</v>
      </c>
      <c r="C51" s="61" t="s">
        <v>202</v>
      </c>
      <c r="D51" s="61" t="s">
        <v>177</v>
      </c>
      <c r="E51" s="61">
        <v>599</v>
      </c>
      <c r="F51" s="61">
        <v>5</v>
      </c>
      <c r="G51" s="61" t="s">
        <v>168</v>
      </c>
      <c r="H51" s="62">
        <v>299.5</v>
      </c>
      <c r="I51" s="63">
        <f t="shared" si="0"/>
        <v>2695.5</v>
      </c>
      <c r="J51" s="59" t="str">
        <f t="shared" si="1"/>
        <v>שבת</v>
      </c>
      <c r="K51" s="64">
        <f t="shared" si="2"/>
        <v>44407</v>
      </c>
      <c r="L51" s="59">
        <f>VLOOKUP(WEEKDAY(A51),'[1]נתונים נוספים'!$C$4:$J$6,VLOOKUP('חתירה למטרה 2'!D51,'[1]נתונים נוספים'!$M$9:$N$15,2,FALSE),TRUE)*'חתירה למטרה 2'!I51</f>
        <v>0</v>
      </c>
    </row>
    <row r="52" spans="1:12" x14ac:dyDescent="0.25">
      <c r="A52" s="60">
        <v>44009</v>
      </c>
      <c r="B52" s="61" t="s">
        <v>101</v>
      </c>
      <c r="C52" s="61" t="s">
        <v>169</v>
      </c>
      <c r="D52" s="61" t="s">
        <v>160</v>
      </c>
      <c r="E52" s="61">
        <v>229</v>
      </c>
      <c r="F52" s="61">
        <v>33</v>
      </c>
      <c r="G52" s="61" t="s">
        <v>174</v>
      </c>
      <c r="H52" s="62">
        <v>604.56000000000006</v>
      </c>
      <c r="I52" s="63">
        <f t="shared" si="0"/>
        <v>6952.44</v>
      </c>
      <c r="J52" s="59" t="str">
        <f t="shared" si="1"/>
        <v>שבת</v>
      </c>
      <c r="K52" s="64">
        <f t="shared" si="2"/>
        <v>44039</v>
      </c>
      <c r="L52" s="59">
        <f>VLOOKUP(WEEKDAY(A52),'[1]נתונים נוספים'!$C$4:$J$6,VLOOKUP('חתירה למטרה 2'!D52,'[1]נתונים נוספים'!$M$9:$N$15,2,FALSE),TRUE)*'חתירה למטרה 2'!I52</f>
        <v>0</v>
      </c>
    </row>
    <row r="53" spans="1:12" x14ac:dyDescent="0.25">
      <c r="A53" s="60">
        <v>44042</v>
      </c>
      <c r="B53" s="61" t="s">
        <v>162</v>
      </c>
      <c r="C53" s="61" t="s">
        <v>179</v>
      </c>
      <c r="D53" s="61" t="s">
        <v>180</v>
      </c>
      <c r="E53" s="61">
        <v>499</v>
      </c>
      <c r="F53" s="61">
        <v>26</v>
      </c>
      <c r="G53" s="61" t="s">
        <v>165</v>
      </c>
      <c r="H53" s="62">
        <v>1686.6200000000001</v>
      </c>
      <c r="I53" s="63">
        <f t="shared" si="0"/>
        <v>11287.38</v>
      </c>
      <c r="J53" s="59" t="str">
        <f t="shared" si="1"/>
        <v>יום חמישי</v>
      </c>
      <c r="K53" s="64">
        <f t="shared" si="2"/>
        <v>44132</v>
      </c>
      <c r="L53" s="59">
        <f>VLOOKUP(WEEKDAY(A53),'[1]נתונים נוספים'!$C$4:$J$6,VLOOKUP('חתירה למטרה 2'!D53,'[1]נתונים נוספים'!$M$9:$N$15,2,FALSE),TRUE)*'חתירה למטרה 2'!I53</f>
        <v>1015.8641999999999</v>
      </c>
    </row>
    <row r="54" spans="1:12" x14ac:dyDescent="0.25">
      <c r="A54" s="60">
        <v>44088</v>
      </c>
      <c r="B54" s="61" t="s">
        <v>82</v>
      </c>
      <c r="C54" s="61" t="s">
        <v>179</v>
      </c>
      <c r="D54" s="61" t="s">
        <v>180</v>
      </c>
      <c r="E54" s="61">
        <v>499</v>
      </c>
      <c r="F54" s="61">
        <v>22</v>
      </c>
      <c r="G54" s="61" t="s">
        <v>199</v>
      </c>
      <c r="H54" s="62">
        <v>1536.92</v>
      </c>
      <c r="I54" s="63">
        <f t="shared" si="0"/>
        <v>9441.08</v>
      </c>
      <c r="J54" s="59" t="str">
        <f t="shared" si="1"/>
        <v>יום שני</v>
      </c>
      <c r="K54" s="64">
        <f t="shared" si="2"/>
        <v>44128</v>
      </c>
      <c r="L54" s="59">
        <f>VLOOKUP(WEEKDAY(A54),'[1]נתונים נוספים'!$C$4:$J$6,VLOOKUP('חתירה למטרה 2'!D54,'[1]נתונים נוספים'!$M$9:$N$15,2,FALSE),TRUE)*'חתירה למטרה 2'!I54</f>
        <v>472.05400000000003</v>
      </c>
    </row>
    <row r="55" spans="1:12" x14ac:dyDescent="0.25">
      <c r="A55" s="60">
        <v>44238</v>
      </c>
      <c r="B55" s="61" t="s">
        <v>162</v>
      </c>
      <c r="C55" s="61" t="s">
        <v>194</v>
      </c>
      <c r="D55" s="61" t="s">
        <v>164</v>
      </c>
      <c r="E55" s="61">
        <v>75</v>
      </c>
      <c r="F55" s="61">
        <v>13</v>
      </c>
      <c r="G55" s="61" t="s">
        <v>165</v>
      </c>
      <c r="H55" s="62">
        <v>204.75</v>
      </c>
      <c r="I55" s="63">
        <f t="shared" si="0"/>
        <v>770.25</v>
      </c>
      <c r="J55" s="59" t="str">
        <f t="shared" si="1"/>
        <v>יום חמישי</v>
      </c>
      <c r="K55" s="64">
        <f t="shared" si="2"/>
        <v>44328</v>
      </c>
      <c r="L55" s="59">
        <f>VLOOKUP(WEEKDAY(A55),'[1]נתונים נוספים'!$C$4:$J$6,VLOOKUP('חתירה למטרה 2'!D55,'[1]נתונים נוספים'!$M$9:$N$15,2,FALSE),TRUE)*'חתירה למטרה 2'!I55</f>
        <v>61.620000000000005</v>
      </c>
    </row>
    <row r="56" spans="1:12" x14ac:dyDescent="0.25">
      <c r="A56" s="60">
        <v>44232</v>
      </c>
      <c r="B56" s="61" t="s">
        <v>82</v>
      </c>
      <c r="C56" s="61" t="s">
        <v>208</v>
      </c>
      <c r="D56" s="61" t="s">
        <v>209</v>
      </c>
      <c r="E56" s="61">
        <v>199</v>
      </c>
      <c r="F56" s="61">
        <v>24</v>
      </c>
      <c r="G56" s="61" t="s">
        <v>170</v>
      </c>
      <c r="H56" s="62">
        <v>477.6</v>
      </c>
      <c r="I56" s="63">
        <f t="shared" si="0"/>
        <v>4298.3999999999996</v>
      </c>
      <c r="J56" s="59" t="str">
        <f t="shared" si="1"/>
        <v>יום שישי</v>
      </c>
      <c r="K56" s="64">
        <f t="shared" si="2"/>
        <v>44252</v>
      </c>
      <c r="L56" s="59">
        <f>VLOOKUP(WEEKDAY(A56),'[1]נתונים נוספים'!$C$4:$J$6,VLOOKUP('חתירה למטרה 2'!D56,'[1]נתונים נוספים'!$M$9:$N$15,2,FALSE),TRUE)*'חתירה למטרה 2'!I56</f>
        <v>429.84</v>
      </c>
    </row>
    <row r="57" spans="1:12" x14ac:dyDescent="0.25">
      <c r="A57" s="60">
        <v>44260</v>
      </c>
      <c r="B57" s="61" t="s">
        <v>162</v>
      </c>
      <c r="C57" s="61" t="s">
        <v>163</v>
      </c>
      <c r="D57" s="61" t="s">
        <v>164</v>
      </c>
      <c r="E57" s="61">
        <v>139</v>
      </c>
      <c r="F57" s="61">
        <v>27</v>
      </c>
      <c r="G57" s="61" t="s">
        <v>183</v>
      </c>
      <c r="H57" s="62">
        <v>938.25</v>
      </c>
      <c r="I57" s="63">
        <f t="shared" si="0"/>
        <v>2814.75</v>
      </c>
      <c r="J57" s="59" t="str">
        <f t="shared" si="1"/>
        <v>יום שישי</v>
      </c>
      <c r="K57" s="64">
        <f t="shared" si="2"/>
        <v>44350</v>
      </c>
      <c r="L57" s="59">
        <f>VLOOKUP(WEEKDAY(A57),'[1]נתונים נוספים'!$C$4:$J$6,VLOOKUP('חתירה למטרה 2'!D57,'[1]נתונים נוספים'!$M$9:$N$15,2,FALSE),TRUE)*'חתירה למטרה 2'!I57</f>
        <v>154.81125</v>
      </c>
    </row>
    <row r="58" spans="1:12" x14ac:dyDescent="0.25">
      <c r="A58" s="60">
        <v>44066</v>
      </c>
      <c r="B58" s="61" t="s">
        <v>162</v>
      </c>
      <c r="C58" s="61" t="s">
        <v>210</v>
      </c>
      <c r="D58" s="61" t="s">
        <v>209</v>
      </c>
      <c r="E58" s="61">
        <v>99</v>
      </c>
      <c r="F58" s="61">
        <v>2</v>
      </c>
      <c r="G58" s="61" t="s">
        <v>189</v>
      </c>
      <c r="H58" s="62">
        <v>51.480000000000004</v>
      </c>
      <c r="I58" s="63">
        <f t="shared" si="0"/>
        <v>146.51999999999998</v>
      </c>
      <c r="J58" s="59" t="str">
        <f t="shared" si="1"/>
        <v>יום ראשון</v>
      </c>
      <c r="K58" s="64">
        <f t="shared" si="2"/>
        <v>44156</v>
      </c>
      <c r="L58" s="59">
        <f>VLOOKUP(WEEKDAY(A58),'[1]נתונים נוספים'!$C$4:$J$6,VLOOKUP('חתירה למטרה 2'!D58,'[1]נתונים נוספים'!$M$9:$N$15,2,FALSE),TRUE)*'חתירה למטרה 2'!I58</f>
        <v>0</v>
      </c>
    </row>
    <row r="59" spans="1:12" x14ac:dyDescent="0.25">
      <c r="A59" s="60">
        <v>44051</v>
      </c>
      <c r="B59" s="61" t="s">
        <v>175</v>
      </c>
      <c r="C59" s="61" t="s">
        <v>210</v>
      </c>
      <c r="D59" s="61" t="s">
        <v>209</v>
      </c>
      <c r="E59" s="61">
        <v>99</v>
      </c>
      <c r="F59" s="61">
        <v>13</v>
      </c>
      <c r="G59" s="61" t="s">
        <v>193</v>
      </c>
      <c r="H59" s="62">
        <v>308.88</v>
      </c>
      <c r="I59" s="63">
        <f t="shared" si="0"/>
        <v>978.12</v>
      </c>
      <c r="J59" s="59" t="str">
        <f t="shared" si="1"/>
        <v>שבת</v>
      </c>
      <c r="K59" s="64">
        <f t="shared" si="2"/>
        <v>44091</v>
      </c>
      <c r="L59" s="59">
        <f>VLOOKUP(WEEKDAY(A59),'[1]נתונים נוספים'!$C$4:$J$6,VLOOKUP('חתירה למטרה 2'!D59,'[1]נתונים נוספים'!$M$9:$N$15,2,FALSE),TRUE)*'חתירה למטרה 2'!I59</f>
        <v>97.812000000000012</v>
      </c>
    </row>
    <row r="60" spans="1:12" x14ac:dyDescent="0.25">
      <c r="A60" s="60">
        <v>44205</v>
      </c>
      <c r="B60" s="61" t="s">
        <v>162</v>
      </c>
      <c r="C60" s="61" t="s">
        <v>202</v>
      </c>
      <c r="D60" s="61" t="s">
        <v>177</v>
      </c>
      <c r="E60" s="61">
        <v>599</v>
      </c>
      <c r="F60" s="61">
        <v>14</v>
      </c>
      <c r="G60" s="61" t="s">
        <v>189</v>
      </c>
      <c r="H60" s="62">
        <v>2012.6399999999999</v>
      </c>
      <c r="I60" s="63">
        <f t="shared" si="0"/>
        <v>6373.3600000000006</v>
      </c>
      <c r="J60" s="59" t="str">
        <f t="shared" si="1"/>
        <v>שבת</v>
      </c>
      <c r="K60" s="64">
        <f t="shared" si="2"/>
        <v>44295</v>
      </c>
      <c r="L60" s="59">
        <f>VLOOKUP(WEEKDAY(A60),'[1]נתונים נוספים'!$C$4:$J$6,VLOOKUP('חתירה למטרה 2'!D60,'[1]נתונים נוספים'!$M$9:$N$15,2,FALSE),TRUE)*'חתירה למטרה 2'!I60</f>
        <v>0</v>
      </c>
    </row>
    <row r="61" spans="1:12" x14ac:dyDescent="0.25">
      <c r="A61" s="60">
        <v>44367</v>
      </c>
      <c r="B61" s="61" t="s">
        <v>162</v>
      </c>
      <c r="C61" s="61" t="s">
        <v>187</v>
      </c>
      <c r="D61" s="61" t="s">
        <v>177</v>
      </c>
      <c r="E61" s="61">
        <v>99</v>
      </c>
      <c r="F61" s="61">
        <v>8</v>
      </c>
      <c r="G61" s="61" t="s">
        <v>183</v>
      </c>
      <c r="H61" s="62">
        <v>166.32</v>
      </c>
      <c r="I61" s="63">
        <f t="shared" si="0"/>
        <v>625.68000000000006</v>
      </c>
      <c r="J61" s="59" t="str">
        <f t="shared" si="1"/>
        <v>יום ראשון</v>
      </c>
      <c r="K61" s="64">
        <f t="shared" si="2"/>
        <v>44457</v>
      </c>
      <c r="L61" s="59">
        <f>VLOOKUP(WEEKDAY(A61),'[1]נתונים נוספים'!$C$4:$J$6,VLOOKUP('חתירה למטרה 2'!D61,'[1]נתונים נוספים'!$M$9:$N$15,2,FALSE),TRUE)*'חתירה למטרה 2'!I61</f>
        <v>12.513600000000002</v>
      </c>
    </row>
    <row r="62" spans="1:12" x14ac:dyDescent="0.25">
      <c r="A62" s="60">
        <v>44178</v>
      </c>
      <c r="B62" s="61" t="s">
        <v>162</v>
      </c>
      <c r="C62" s="61" t="s">
        <v>169</v>
      </c>
      <c r="D62" s="61" t="s">
        <v>160</v>
      </c>
      <c r="E62" s="61">
        <v>229</v>
      </c>
      <c r="F62" s="61">
        <v>14</v>
      </c>
      <c r="G62" s="61" t="s">
        <v>183</v>
      </c>
      <c r="H62" s="62">
        <v>480.9</v>
      </c>
      <c r="I62" s="63">
        <f t="shared" si="0"/>
        <v>2725.1</v>
      </c>
      <c r="J62" s="59" t="str">
        <f t="shared" si="1"/>
        <v>יום ראשון</v>
      </c>
      <c r="K62" s="64">
        <f t="shared" si="2"/>
        <v>44268</v>
      </c>
      <c r="L62" s="59">
        <f>VLOOKUP(WEEKDAY(A62),'[1]נתונים נוספים'!$C$4:$J$6,VLOOKUP('חתירה למטרה 2'!D62,'[1]נתונים נוספים'!$M$9:$N$15,2,FALSE),TRUE)*'חתירה למטרה 2'!I62</f>
        <v>81.753</v>
      </c>
    </row>
    <row r="63" spans="1:12" x14ac:dyDescent="0.25">
      <c r="A63" s="60">
        <v>44351</v>
      </c>
      <c r="B63" s="61" t="s">
        <v>101</v>
      </c>
      <c r="C63" s="61" t="s">
        <v>198</v>
      </c>
      <c r="D63" s="61" t="s">
        <v>180</v>
      </c>
      <c r="E63" s="61">
        <v>629</v>
      </c>
      <c r="F63" s="61">
        <v>6</v>
      </c>
      <c r="G63" s="61" t="s">
        <v>161</v>
      </c>
      <c r="H63" s="62">
        <v>868.02</v>
      </c>
      <c r="I63" s="63">
        <f t="shared" si="0"/>
        <v>2905.98</v>
      </c>
      <c r="J63" s="59" t="str">
        <f t="shared" si="1"/>
        <v>יום שישי</v>
      </c>
      <c r="K63" s="64">
        <f t="shared" si="2"/>
        <v>44381</v>
      </c>
      <c r="L63" s="59">
        <f>VLOOKUP(WEEKDAY(A63),'[1]נתונים נוספים'!$C$4:$J$6,VLOOKUP('חתירה למטרה 2'!D63,'[1]נתונים נוספים'!$M$9:$N$15,2,FALSE),TRUE)*'חתירה למטרה 2'!I63</f>
        <v>174.3588</v>
      </c>
    </row>
    <row r="64" spans="1:12" x14ac:dyDescent="0.25">
      <c r="A64" s="60">
        <v>44012</v>
      </c>
      <c r="B64" s="61" t="s">
        <v>162</v>
      </c>
      <c r="C64" s="61" t="s">
        <v>167</v>
      </c>
      <c r="D64" s="61" t="s">
        <v>160</v>
      </c>
      <c r="E64" s="61">
        <v>149</v>
      </c>
      <c r="F64" s="61">
        <v>3</v>
      </c>
      <c r="G64" s="61" t="s">
        <v>189</v>
      </c>
      <c r="H64" s="62">
        <v>71.52</v>
      </c>
      <c r="I64" s="63">
        <f t="shared" si="0"/>
        <v>375.48</v>
      </c>
      <c r="J64" s="59" t="str">
        <f t="shared" si="1"/>
        <v>יום שלישי</v>
      </c>
      <c r="K64" s="64">
        <f t="shared" si="2"/>
        <v>44102</v>
      </c>
      <c r="L64" s="59">
        <f>VLOOKUP(WEEKDAY(A64),'[1]נתונים נוספים'!$C$4:$J$6,VLOOKUP('חתירה למטרה 2'!D64,'[1]נתונים נוספים'!$M$9:$N$15,2,FALSE),TRUE)*'חתירה למטרה 2'!I64</f>
        <v>11.2644</v>
      </c>
    </row>
    <row r="65" spans="1:12" x14ac:dyDescent="0.25">
      <c r="A65" s="60">
        <v>44196</v>
      </c>
      <c r="B65" s="61" t="s">
        <v>101</v>
      </c>
      <c r="C65" s="61" t="s">
        <v>182</v>
      </c>
      <c r="D65" s="61" t="s">
        <v>177</v>
      </c>
      <c r="E65" s="61">
        <v>59</v>
      </c>
      <c r="F65" s="61">
        <v>6</v>
      </c>
      <c r="G65" s="61" t="s">
        <v>174</v>
      </c>
      <c r="H65" s="62">
        <v>74.34</v>
      </c>
      <c r="I65" s="63">
        <f t="shared" si="0"/>
        <v>279.65999999999997</v>
      </c>
      <c r="J65" s="59" t="str">
        <f t="shared" si="1"/>
        <v>יום חמישי</v>
      </c>
      <c r="K65" s="64">
        <f t="shared" si="2"/>
        <v>44246</v>
      </c>
      <c r="L65" s="59">
        <f>VLOOKUP(WEEKDAY(A65),'[1]נתונים נוספים'!$C$4:$J$6,VLOOKUP('חתירה למטרה 2'!D65,'[1]נתונים נוספים'!$M$9:$N$15,2,FALSE),TRUE)*'חתירה למטרה 2'!I65</f>
        <v>11.186399999999999</v>
      </c>
    </row>
    <row r="66" spans="1:12" x14ac:dyDescent="0.25">
      <c r="A66" s="60">
        <v>44296</v>
      </c>
      <c r="B66" s="61" t="s">
        <v>162</v>
      </c>
      <c r="C66" s="61" t="s">
        <v>185</v>
      </c>
      <c r="D66" s="61" t="s">
        <v>177</v>
      </c>
      <c r="E66" s="61">
        <v>95</v>
      </c>
      <c r="F66" s="61">
        <v>12</v>
      </c>
      <c r="G66" s="61" t="s">
        <v>189</v>
      </c>
      <c r="H66" s="62">
        <v>68.399999999999991</v>
      </c>
      <c r="I66" s="63">
        <f t="shared" si="0"/>
        <v>1071.5999999999999</v>
      </c>
      <c r="J66" s="59" t="str">
        <f t="shared" si="1"/>
        <v>שבת</v>
      </c>
      <c r="K66" s="64">
        <f t="shared" si="2"/>
        <v>44386</v>
      </c>
      <c r="L66" s="59">
        <f>VLOOKUP(WEEKDAY(A66),'[1]נתונים נוספים'!$C$4:$J$6,VLOOKUP('חתירה למטרה 2'!D66,'[1]נתונים נוספים'!$M$9:$N$15,2,FALSE),TRUE)*'חתירה למטרה 2'!I66</f>
        <v>0</v>
      </c>
    </row>
    <row r="67" spans="1:12" x14ac:dyDescent="0.25">
      <c r="A67" s="60">
        <v>44280</v>
      </c>
      <c r="B67" s="61" t="s">
        <v>101</v>
      </c>
      <c r="C67" s="61" t="s">
        <v>198</v>
      </c>
      <c r="D67" s="61" t="s">
        <v>180</v>
      </c>
      <c r="E67" s="61">
        <v>629</v>
      </c>
      <c r="F67" s="61">
        <v>9</v>
      </c>
      <c r="G67" s="61" t="s">
        <v>161</v>
      </c>
      <c r="H67" s="62">
        <v>452.88</v>
      </c>
      <c r="I67" s="63">
        <f t="shared" ref="I67:I130" si="5">E67*F67-H67</f>
        <v>5208.12</v>
      </c>
      <c r="J67" s="59" t="str">
        <f t="shared" ref="J67:J130" si="6">TEXT(A67,"dddd")</f>
        <v>יום חמישי</v>
      </c>
      <c r="K67" s="64">
        <f t="shared" ref="K67:K130" si="7">IF(B67=$K$270,A67+$L$270,VLOOKUP(MONTH(A67),$K$272:$L$275,2,TRUE)+A67)</f>
        <v>44300</v>
      </c>
      <c r="L67" s="59">
        <f>VLOOKUP(WEEKDAY(A67),'[1]נתונים נוספים'!$C$4:$J$6,VLOOKUP('חתירה למטרה 2'!D67,'[1]נתונים נוספים'!$M$9:$N$15,2,FALSE),TRUE)*'חתירה למטרה 2'!I67</f>
        <v>468.73079999999999</v>
      </c>
    </row>
    <row r="68" spans="1:12" x14ac:dyDescent="0.25">
      <c r="A68" s="60">
        <v>44312</v>
      </c>
      <c r="B68" s="61" t="s">
        <v>162</v>
      </c>
      <c r="C68" s="61" t="s">
        <v>198</v>
      </c>
      <c r="D68" s="61" t="s">
        <v>180</v>
      </c>
      <c r="E68" s="61">
        <v>629</v>
      </c>
      <c r="F68" s="61">
        <v>6</v>
      </c>
      <c r="G68" s="61" t="s">
        <v>168</v>
      </c>
      <c r="H68" s="62">
        <v>905.76</v>
      </c>
      <c r="I68" s="63">
        <f t="shared" si="5"/>
        <v>2868.24</v>
      </c>
      <c r="J68" s="59" t="str">
        <f t="shared" si="6"/>
        <v>יום שני</v>
      </c>
      <c r="K68" s="64">
        <f t="shared" si="7"/>
        <v>44402</v>
      </c>
      <c r="L68" s="59">
        <f>VLOOKUP(WEEKDAY(A68),'[1]נתונים נוספים'!$C$4:$J$6,VLOOKUP('חתירה למטרה 2'!D68,'[1]נתונים נוספים'!$M$9:$N$15,2,FALSE),TRUE)*'חתירה למטרה 2'!I68</f>
        <v>143.41200000000001</v>
      </c>
    </row>
    <row r="69" spans="1:12" x14ac:dyDescent="0.25">
      <c r="A69" s="60">
        <v>44263</v>
      </c>
      <c r="B69" s="61" t="s">
        <v>162</v>
      </c>
      <c r="C69" s="61" t="s">
        <v>185</v>
      </c>
      <c r="D69" s="61" t="s">
        <v>177</v>
      </c>
      <c r="E69" s="61">
        <v>95</v>
      </c>
      <c r="F69" s="61">
        <v>3</v>
      </c>
      <c r="G69" s="61" t="s">
        <v>183</v>
      </c>
      <c r="H69" s="62">
        <v>54.15</v>
      </c>
      <c r="I69" s="63">
        <f t="shared" si="5"/>
        <v>230.85</v>
      </c>
      <c r="J69" s="59" t="str">
        <f t="shared" si="6"/>
        <v>יום שני</v>
      </c>
      <c r="K69" s="64">
        <f t="shared" si="7"/>
        <v>44353</v>
      </c>
      <c r="L69" s="59">
        <f>VLOOKUP(WEEKDAY(A69),'[1]נתונים נוספים'!$C$4:$J$6,VLOOKUP('חתירה למטרה 2'!D69,'[1]נתונים נוספים'!$M$9:$N$15,2,FALSE),TRUE)*'חתירה למטרה 2'!I69</f>
        <v>4.617</v>
      </c>
    </row>
    <row r="70" spans="1:12" x14ac:dyDescent="0.25">
      <c r="A70" s="60">
        <v>44121</v>
      </c>
      <c r="B70" s="61" t="s">
        <v>162</v>
      </c>
      <c r="C70" s="61" t="s">
        <v>204</v>
      </c>
      <c r="D70" s="61" t="s">
        <v>177</v>
      </c>
      <c r="E70" s="61">
        <v>555</v>
      </c>
      <c r="F70" s="61">
        <v>7</v>
      </c>
      <c r="G70" s="61" t="s">
        <v>168</v>
      </c>
      <c r="H70" s="62">
        <v>505.05</v>
      </c>
      <c r="I70" s="63">
        <f t="shared" si="5"/>
        <v>3379.95</v>
      </c>
      <c r="J70" s="59" t="str">
        <f t="shared" si="6"/>
        <v>שבת</v>
      </c>
      <c r="K70" s="64">
        <f t="shared" si="7"/>
        <v>44211</v>
      </c>
      <c r="L70" s="59">
        <f>VLOOKUP(WEEKDAY(A70),'[1]נתונים נוספים'!$C$4:$J$6,VLOOKUP('חתירה למטרה 2'!D70,'[1]נתונים נוספים'!$M$9:$N$15,2,FALSE),TRUE)*'חתירה למטרה 2'!I70</f>
        <v>0</v>
      </c>
    </row>
    <row r="71" spans="1:12" x14ac:dyDescent="0.25">
      <c r="A71" s="60">
        <v>44220</v>
      </c>
      <c r="B71" s="61" t="s">
        <v>175</v>
      </c>
      <c r="C71" s="61" t="s">
        <v>208</v>
      </c>
      <c r="D71" s="61" t="s">
        <v>209</v>
      </c>
      <c r="E71" s="61">
        <v>199</v>
      </c>
      <c r="F71" s="61">
        <v>14</v>
      </c>
      <c r="G71" s="61" t="s">
        <v>196</v>
      </c>
      <c r="H71" s="62">
        <v>529.34</v>
      </c>
      <c r="I71" s="63">
        <f t="shared" si="5"/>
        <v>2256.66</v>
      </c>
      <c r="J71" s="59" t="str">
        <f t="shared" si="6"/>
        <v>יום ראשון</v>
      </c>
      <c r="K71" s="64">
        <f t="shared" si="7"/>
        <v>44240</v>
      </c>
      <c r="L71" s="59">
        <f>VLOOKUP(WEEKDAY(A71),'[1]נתונים נוספים'!$C$4:$J$6,VLOOKUP('חתירה למטרה 2'!D71,'[1]נתונים נוספים'!$M$9:$N$15,2,FALSE),TRUE)*'חתירה למטרה 2'!I71</f>
        <v>0</v>
      </c>
    </row>
    <row r="72" spans="1:12" x14ac:dyDescent="0.25">
      <c r="A72" s="60">
        <v>44325</v>
      </c>
      <c r="B72" s="61" t="s">
        <v>175</v>
      </c>
      <c r="C72" s="61" t="s">
        <v>172</v>
      </c>
      <c r="D72" s="61" t="s">
        <v>173</v>
      </c>
      <c r="E72" s="61">
        <v>175</v>
      </c>
      <c r="F72" s="61">
        <v>20</v>
      </c>
      <c r="G72" s="61" t="s">
        <v>196</v>
      </c>
      <c r="H72" s="62">
        <v>630</v>
      </c>
      <c r="I72" s="63">
        <f t="shared" si="5"/>
        <v>2870</v>
      </c>
      <c r="J72" s="59" t="str">
        <f t="shared" si="6"/>
        <v>יום ראשון</v>
      </c>
      <c r="K72" s="64">
        <f t="shared" si="7"/>
        <v>44355</v>
      </c>
      <c r="L72" s="59">
        <f>VLOOKUP(WEEKDAY(A72),'[1]נתונים נוספים'!$C$4:$J$6,VLOOKUP('חתירה למטרה 2'!D72,'[1]נתונים נוספים'!$M$9:$N$15,2,FALSE),TRUE)*'חתירה למטרה 2'!I72</f>
        <v>143.5</v>
      </c>
    </row>
    <row r="73" spans="1:12" x14ac:dyDescent="0.25">
      <c r="A73" s="60">
        <v>44357</v>
      </c>
      <c r="B73" s="61" t="s">
        <v>82</v>
      </c>
      <c r="C73" s="61" t="s">
        <v>190</v>
      </c>
      <c r="D73" s="61" t="s">
        <v>191</v>
      </c>
      <c r="E73" s="61">
        <v>280</v>
      </c>
      <c r="F73" s="61">
        <v>1</v>
      </c>
      <c r="G73" s="61" t="s">
        <v>201</v>
      </c>
      <c r="H73" s="62">
        <v>61.6</v>
      </c>
      <c r="I73" s="63">
        <f t="shared" si="5"/>
        <v>218.4</v>
      </c>
      <c r="J73" s="59" t="str">
        <f t="shared" si="6"/>
        <v>יום חמישי</v>
      </c>
      <c r="K73" s="64">
        <f t="shared" si="7"/>
        <v>44387</v>
      </c>
      <c r="L73" s="59">
        <f>VLOOKUP(WEEKDAY(A73),'[1]נתונים נוספים'!$C$4:$J$6,VLOOKUP('חתירה למטרה 2'!D73,'[1]נתונים נוספים'!$M$9:$N$15,2,FALSE),TRUE)*'חתירה למטרה 2'!I73</f>
        <v>0</v>
      </c>
    </row>
    <row r="74" spans="1:12" x14ac:dyDescent="0.25">
      <c r="A74" s="60">
        <v>44253</v>
      </c>
      <c r="B74" s="61" t="s">
        <v>82</v>
      </c>
      <c r="C74" s="61" t="s">
        <v>176</v>
      </c>
      <c r="D74" s="61" t="s">
        <v>177</v>
      </c>
      <c r="E74" s="61">
        <v>899</v>
      </c>
      <c r="F74" s="61">
        <v>2</v>
      </c>
      <c r="G74" s="61" t="s">
        <v>181</v>
      </c>
      <c r="H74" s="62">
        <v>143.84</v>
      </c>
      <c r="I74" s="63">
        <f t="shared" si="5"/>
        <v>1654.16</v>
      </c>
      <c r="J74" s="59" t="str">
        <f t="shared" si="6"/>
        <v>יום שישי</v>
      </c>
      <c r="K74" s="64">
        <f t="shared" si="7"/>
        <v>44273</v>
      </c>
      <c r="L74" s="59">
        <f>VLOOKUP(WEEKDAY(A74),'[1]נתונים נוספים'!$C$4:$J$6,VLOOKUP('חתירה למטרה 2'!D74,'[1]נתונים נוספים'!$M$9:$N$15,2,FALSE),TRUE)*'חתירה למטרה 2'!I74</f>
        <v>0</v>
      </c>
    </row>
    <row r="75" spans="1:12" x14ac:dyDescent="0.25">
      <c r="A75" s="60">
        <v>44323</v>
      </c>
      <c r="B75" s="61" t="s">
        <v>162</v>
      </c>
      <c r="C75" s="61" t="s">
        <v>159</v>
      </c>
      <c r="D75" s="61" t="s">
        <v>160</v>
      </c>
      <c r="E75" s="61">
        <v>299</v>
      </c>
      <c r="F75" s="61">
        <v>9</v>
      </c>
      <c r="G75" s="61" t="s">
        <v>183</v>
      </c>
      <c r="H75" s="62">
        <v>457.47</v>
      </c>
      <c r="I75" s="63">
        <f t="shared" si="5"/>
        <v>2233.5299999999997</v>
      </c>
      <c r="J75" s="59" t="str">
        <f t="shared" si="6"/>
        <v>יום שישי</v>
      </c>
      <c r="K75" s="64">
        <f t="shared" si="7"/>
        <v>44413</v>
      </c>
      <c r="L75" s="59">
        <f>VLOOKUP(WEEKDAY(A75),'[1]נתונים נוספים'!$C$4:$J$6,VLOOKUP('חתירה למטרה 2'!D75,'[1]נתונים נוספים'!$M$9:$N$15,2,FALSE),TRUE)*'חתירה למטרה 2'!I75</f>
        <v>0</v>
      </c>
    </row>
    <row r="76" spans="1:12" x14ac:dyDescent="0.25">
      <c r="A76" s="60">
        <v>44353</v>
      </c>
      <c r="B76" s="61" t="s">
        <v>175</v>
      </c>
      <c r="C76" s="61" t="s">
        <v>208</v>
      </c>
      <c r="D76" s="61" t="s">
        <v>209</v>
      </c>
      <c r="E76" s="61">
        <v>199</v>
      </c>
      <c r="F76" s="61">
        <v>15</v>
      </c>
      <c r="G76" s="61" t="s">
        <v>193</v>
      </c>
      <c r="H76" s="62">
        <v>686.55000000000007</v>
      </c>
      <c r="I76" s="63">
        <f t="shared" si="5"/>
        <v>2298.4499999999998</v>
      </c>
      <c r="J76" s="59" t="str">
        <f t="shared" si="6"/>
        <v>יום ראשון</v>
      </c>
      <c r="K76" s="64">
        <f t="shared" si="7"/>
        <v>44383</v>
      </c>
      <c r="L76" s="59">
        <f>VLOOKUP(WEEKDAY(A76),'[1]נתונים נוספים'!$C$4:$J$6,VLOOKUP('חתירה למטרה 2'!D76,'[1]נתונים נוספים'!$M$9:$N$15,2,FALSE),TRUE)*'חתירה למטרה 2'!I76</f>
        <v>0</v>
      </c>
    </row>
    <row r="77" spans="1:12" x14ac:dyDescent="0.25">
      <c r="A77" s="60">
        <v>44252</v>
      </c>
      <c r="B77" s="61" t="s">
        <v>60</v>
      </c>
      <c r="C77" s="61" t="s">
        <v>210</v>
      </c>
      <c r="D77" s="61" t="s">
        <v>209</v>
      </c>
      <c r="E77" s="61">
        <v>99</v>
      </c>
      <c r="F77" s="61">
        <v>27</v>
      </c>
      <c r="G77" s="61" t="s">
        <v>211</v>
      </c>
      <c r="H77" s="62">
        <v>561.32999999999993</v>
      </c>
      <c r="I77" s="63">
        <f t="shared" si="5"/>
        <v>2111.67</v>
      </c>
      <c r="J77" s="59" t="str">
        <f t="shared" si="6"/>
        <v>יום חמישי</v>
      </c>
      <c r="K77" s="64">
        <f t="shared" si="7"/>
        <v>44272</v>
      </c>
      <c r="L77" s="59">
        <f>VLOOKUP(WEEKDAY(A77),'[1]נתונים נוספים'!$C$4:$J$6,VLOOKUP('חתירה למטרה 2'!D77,'[1]נתונים נוספים'!$M$9:$N$15,2,FALSE),TRUE)*'חתירה למטרה 2'!I77</f>
        <v>52.791750000000008</v>
      </c>
    </row>
    <row r="78" spans="1:12" x14ac:dyDescent="0.25">
      <c r="A78" s="60">
        <v>44234</v>
      </c>
      <c r="B78" s="61" t="s">
        <v>162</v>
      </c>
      <c r="C78" s="61" t="s">
        <v>186</v>
      </c>
      <c r="D78" s="61" t="s">
        <v>173</v>
      </c>
      <c r="E78" s="61">
        <v>399</v>
      </c>
      <c r="F78" s="61">
        <v>13</v>
      </c>
      <c r="G78" s="61" t="s">
        <v>189</v>
      </c>
      <c r="H78" s="62">
        <v>1348.6200000000001</v>
      </c>
      <c r="I78" s="63">
        <f t="shared" si="5"/>
        <v>3838.38</v>
      </c>
      <c r="J78" s="59" t="str">
        <f t="shared" si="6"/>
        <v>יום ראשון</v>
      </c>
      <c r="K78" s="64">
        <f t="shared" si="7"/>
        <v>44324</v>
      </c>
      <c r="L78" s="59">
        <f>VLOOKUP(WEEKDAY(A78),'[1]נתונים נוספים'!$C$4:$J$6,VLOOKUP('חתירה למטרה 2'!D78,'[1]נתונים נוספים'!$M$9:$N$15,2,FALSE),TRUE)*'חתירה למטרה 2'!I78</f>
        <v>191.91900000000001</v>
      </c>
    </row>
    <row r="79" spans="1:12" x14ac:dyDescent="0.25">
      <c r="A79" s="60">
        <v>44070</v>
      </c>
      <c r="B79" s="61" t="s">
        <v>175</v>
      </c>
      <c r="C79" s="61" t="s">
        <v>208</v>
      </c>
      <c r="D79" s="61" t="s">
        <v>209</v>
      </c>
      <c r="E79" s="61">
        <v>199</v>
      </c>
      <c r="F79" s="61">
        <v>19</v>
      </c>
      <c r="G79" s="61" t="s">
        <v>203</v>
      </c>
      <c r="H79" s="62">
        <v>869.63</v>
      </c>
      <c r="I79" s="63">
        <f t="shared" si="5"/>
        <v>2911.37</v>
      </c>
      <c r="J79" s="59" t="str">
        <f t="shared" si="6"/>
        <v>יום חמישי</v>
      </c>
      <c r="K79" s="64">
        <f t="shared" si="7"/>
        <v>44110</v>
      </c>
      <c r="L79" s="59">
        <f>VLOOKUP(WEEKDAY(A79),'[1]נתונים נוספים'!$C$4:$J$6,VLOOKUP('חתירה למטרה 2'!D79,'[1]נתונים נוספים'!$M$9:$N$15,2,FALSE),TRUE)*'חתירה למטרה 2'!I79</f>
        <v>72.78425</v>
      </c>
    </row>
    <row r="80" spans="1:12" x14ac:dyDescent="0.25">
      <c r="A80" s="60">
        <v>44073</v>
      </c>
      <c r="B80" s="61" t="s">
        <v>162</v>
      </c>
      <c r="C80" s="61" t="s">
        <v>190</v>
      </c>
      <c r="D80" s="61" t="s">
        <v>191</v>
      </c>
      <c r="E80" s="61">
        <v>280</v>
      </c>
      <c r="F80" s="61">
        <v>7</v>
      </c>
      <c r="G80" s="61" t="s">
        <v>189</v>
      </c>
      <c r="H80" s="62">
        <v>137.20000000000002</v>
      </c>
      <c r="I80" s="63">
        <f t="shared" si="5"/>
        <v>1822.8</v>
      </c>
      <c r="J80" s="59" t="str">
        <f t="shared" si="6"/>
        <v>יום ראשון</v>
      </c>
      <c r="K80" s="64">
        <f t="shared" si="7"/>
        <v>44163</v>
      </c>
      <c r="L80" s="59">
        <f>VLOOKUP(WEEKDAY(A80),'[1]נתונים נוספים'!$C$4:$J$6,VLOOKUP('חתירה למטרה 2'!D80,'[1]נתונים נוספים'!$M$9:$N$15,2,FALSE),TRUE)*'חתירה למטרה 2'!I80</f>
        <v>18.228000000000002</v>
      </c>
    </row>
    <row r="81" spans="1:12" x14ac:dyDescent="0.25">
      <c r="A81" s="60">
        <v>44022</v>
      </c>
      <c r="B81" s="61" t="s">
        <v>101</v>
      </c>
      <c r="C81" s="61" t="s">
        <v>171</v>
      </c>
      <c r="D81" s="61" t="s">
        <v>164</v>
      </c>
      <c r="E81" s="61">
        <v>119</v>
      </c>
      <c r="F81" s="61">
        <v>17</v>
      </c>
      <c r="G81" s="61" t="s">
        <v>188</v>
      </c>
      <c r="H81" s="62">
        <v>303.45</v>
      </c>
      <c r="I81" s="63">
        <f t="shared" si="5"/>
        <v>1719.55</v>
      </c>
      <c r="J81" s="59" t="str">
        <f t="shared" si="6"/>
        <v>יום שישי</v>
      </c>
      <c r="K81" s="64">
        <f t="shared" si="7"/>
        <v>44062</v>
      </c>
      <c r="L81" s="59">
        <f>VLOOKUP(WEEKDAY(A81),'[1]נתונים נוספים'!$C$4:$J$6,VLOOKUP('חתירה למטרה 2'!D81,'[1]נתונים נוספים'!$M$9:$N$15,2,FALSE),TRUE)*'חתירה למטרה 2'!I81</f>
        <v>94.575249999999997</v>
      </c>
    </row>
    <row r="82" spans="1:12" x14ac:dyDescent="0.25">
      <c r="A82" s="60">
        <v>44126</v>
      </c>
      <c r="B82" s="61" t="s">
        <v>162</v>
      </c>
      <c r="C82" s="61" t="s">
        <v>186</v>
      </c>
      <c r="D82" s="61" t="s">
        <v>173</v>
      </c>
      <c r="E82" s="61">
        <v>399</v>
      </c>
      <c r="F82" s="61">
        <v>30</v>
      </c>
      <c r="G82" s="61" t="s">
        <v>183</v>
      </c>
      <c r="H82" s="62">
        <v>2034.9</v>
      </c>
      <c r="I82" s="63">
        <f t="shared" si="5"/>
        <v>9935.1</v>
      </c>
      <c r="J82" s="59" t="str">
        <f t="shared" si="6"/>
        <v>יום חמישי</v>
      </c>
      <c r="K82" s="64">
        <f t="shared" si="7"/>
        <v>44216</v>
      </c>
      <c r="L82" s="59">
        <f>VLOOKUP(WEEKDAY(A82),'[1]נתונים נוספים'!$C$4:$J$6,VLOOKUP('חתירה למטרה 2'!D82,'[1]נתונים נוספים'!$M$9:$N$15,2,FALSE),TRUE)*'חתירה למטרה 2'!I82</f>
        <v>0</v>
      </c>
    </row>
    <row r="83" spans="1:12" x14ac:dyDescent="0.25">
      <c r="A83" s="60">
        <v>44227</v>
      </c>
      <c r="B83" s="61" t="s">
        <v>101</v>
      </c>
      <c r="C83" s="61" t="s">
        <v>163</v>
      </c>
      <c r="D83" s="61" t="s">
        <v>164</v>
      </c>
      <c r="E83" s="61">
        <v>139</v>
      </c>
      <c r="F83" s="61">
        <v>12</v>
      </c>
      <c r="G83" s="61" t="s">
        <v>174</v>
      </c>
      <c r="H83" s="62">
        <v>183.48</v>
      </c>
      <c r="I83" s="63">
        <f t="shared" si="5"/>
        <v>1484.52</v>
      </c>
      <c r="J83" s="59" t="str">
        <f t="shared" si="6"/>
        <v>יום ראשון</v>
      </c>
      <c r="K83" s="64">
        <f t="shared" si="7"/>
        <v>44247</v>
      </c>
      <c r="L83" s="59">
        <f>VLOOKUP(WEEKDAY(A83),'[1]נתונים נוספים'!$C$4:$J$6,VLOOKUP('חתירה למטרה 2'!D83,'[1]נתונים נוספים'!$M$9:$N$15,2,FALSE),TRUE)*'חתירה למטרה 2'!I83</f>
        <v>0</v>
      </c>
    </row>
    <row r="84" spans="1:12" x14ac:dyDescent="0.25">
      <c r="A84" s="60">
        <v>44288</v>
      </c>
      <c r="B84" s="61" t="s">
        <v>162</v>
      </c>
      <c r="C84" s="61" t="s">
        <v>182</v>
      </c>
      <c r="D84" s="61" t="s">
        <v>177</v>
      </c>
      <c r="E84" s="61">
        <v>59</v>
      </c>
      <c r="F84" s="61">
        <v>32</v>
      </c>
      <c r="G84" s="61" t="s">
        <v>183</v>
      </c>
      <c r="H84" s="62">
        <v>113.28</v>
      </c>
      <c r="I84" s="63">
        <f t="shared" si="5"/>
        <v>1774.72</v>
      </c>
      <c r="J84" s="59" t="str">
        <f t="shared" si="6"/>
        <v>יום שישי</v>
      </c>
      <c r="K84" s="64">
        <f t="shared" si="7"/>
        <v>44378</v>
      </c>
      <c r="L84" s="59">
        <f>VLOOKUP(WEEKDAY(A84),'[1]נתונים נוספים'!$C$4:$J$6,VLOOKUP('חתירה למטרה 2'!D84,'[1]נתונים נוספים'!$M$9:$N$15,2,FALSE),TRUE)*'חתירה למטרה 2'!I84</f>
        <v>0</v>
      </c>
    </row>
    <row r="85" spans="1:12" x14ac:dyDescent="0.25">
      <c r="A85" s="60">
        <v>44302</v>
      </c>
      <c r="B85" s="61" t="s">
        <v>82</v>
      </c>
      <c r="C85" s="61" t="s">
        <v>163</v>
      </c>
      <c r="D85" s="61" t="s">
        <v>164</v>
      </c>
      <c r="E85" s="61">
        <v>139</v>
      </c>
      <c r="F85" s="61">
        <v>2</v>
      </c>
      <c r="G85" s="61" t="s">
        <v>197</v>
      </c>
      <c r="H85" s="62">
        <v>50.04</v>
      </c>
      <c r="I85" s="63">
        <f t="shared" si="5"/>
        <v>227.96</v>
      </c>
      <c r="J85" s="59" t="str">
        <f t="shared" si="6"/>
        <v>יום שישי</v>
      </c>
      <c r="K85" s="64">
        <f t="shared" si="7"/>
        <v>44332</v>
      </c>
      <c r="L85" s="59">
        <f>VLOOKUP(WEEKDAY(A85),'[1]נתונים נוספים'!$C$4:$J$6,VLOOKUP('חתירה למטרה 2'!D85,'[1]נתונים נוספים'!$M$9:$N$15,2,FALSE),TRUE)*'חתירה למטרה 2'!I85</f>
        <v>12.537800000000001</v>
      </c>
    </row>
    <row r="86" spans="1:12" x14ac:dyDescent="0.25">
      <c r="A86" s="60">
        <v>44046</v>
      </c>
      <c r="B86" s="61" t="s">
        <v>175</v>
      </c>
      <c r="C86" s="61" t="s">
        <v>169</v>
      </c>
      <c r="D86" s="61" t="s">
        <v>160</v>
      </c>
      <c r="E86" s="61">
        <v>229</v>
      </c>
      <c r="F86" s="61">
        <v>3</v>
      </c>
      <c r="G86" s="61" t="s">
        <v>193</v>
      </c>
      <c r="H86" s="62">
        <v>61.83</v>
      </c>
      <c r="I86" s="63">
        <f t="shared" si="5"/>
        <v>625.16999999999996</v>
      </c>
      <c r="J86" s="59" t="str">
        <f t="shared" si="6"/>
        <v>יום שני</v>
      </c>
      <c r="K86" s="64">
        <f t="shared" si="7"/>
        <v>44086</v>
      </c>
      <c r="L86" s="59">
        <f>VLOOKUP(WEEKDAY(A86),'[1]נתונים נוספים'!$C$4:$J$6,VLOOKUP('חתירה למטרה 2'!D86,'[1]נתונים נוספים'!$M$9:$N$15,2,FALSE),TRUE)*'חתירה למטרה 2'!I86</f>
        <v>18.755099999999999</v>
      </c>
    </row>
    <row r="87" spans="1:12" x14ac:dyDescent="0.25">
      <c r="A87" s="60">
        <v>44052</v>
      </c>
      <c r="B87" s="61" t="s">
        <v>162</v>
      </c>
      <c r="C87" s="61" t="s">
        <v>167</v>
      </c>
      <c r="D87" s="61" t="s">
        <v>160</v>
      </c>
      <c r="E87" s="61">
        <v>149</v>
      </c>
      <c r="F87" s="61">
        <v>1</v>
      </c>
      <c r="G87" s="61" t="s">
        <v>183</v>
      </c>
      <c r="H87" s="62">
        <v>13.41</v>
      </c>
      <c r="I87" s="63">
        <f t="shared" si="5"/>
        <v>135.59</v>
      </c>
      <c r="J87" s="59" t="str">
        <f t="shared" si="6"/>
        <v>יום ראשון</v>
      </c>
      <c r="K87" s="64">
        <f t="shared" si="7"/>
        <v>44142</v>
      </c>
      <c r="L87" s="59">
        <f>VLOOKUP(WEEKDAY(A87),'[1]נתונים נוספים'!$C$4:$J$6,VLOOKUP('חתירה למטרה 2'!D87,'[1]נתונים נוספים'!$M$9:$N$15,2,FALSE),TRUE)*'חתירה למטרה 2'!I87</f>
        <v>4.0677000000000003</v>
      </c>
    </row>
    <row r="88" spans="1:12" x14ac:dyDescent="0.25">
      <c r="A88" s="60">
        <v>44186</v>
      </c>
      <c r="B88" s="61" t="s">
        <v>162</v>
      </c>
      <c r="C88" s="61" t="s">
        <v>171</v>
      </c>
      <c r="D88" s="61" t="s">
        <v>164</v>
      </c>
      <c r="E88" s="61">
        <v>119</v>
      </c>
      <c r="F88" s="61">
        <v>27</v>
      </c>
      <c r="G88" s="61" t="s">
        <v>183</v>
      </c>
      <c r="H88" s="62">
        <v>192.78</v>
      </c>
      <c r="I88" s="63">
        <f t="shared" si="5"/>
        <v>3020.22</v>
      </c>
      <c r="J88" s="59" t="str">
        <f t="shared" si="6"/>
        <v>יום שני</v>
      </c>
      <c r="K88" s="64">
        <f t="shared" si="7"/>
        <v>44276</v>
      </c>
      <c r="L88" s="59">
        <f>VLOOKUP(WEEKDAY(A88),'[1]נתונים נוספים'!$C$4:$J$6,VLOOKUP('חתירה למטרה 2'!D88,'[1]נתונים נוספים'!$M$9:$N$15,2,FALSE),TRUE)*'חתירה למטרה 2'!I88</f>
        <v>0</v>
      </c>
    </row>
    <row r="89" spans="1:12" x14ac:dyDescent="0.25">
      <c r="A89" s="60">
        <v>44030</v>
      </c>
      <c r="B89" s="61" t="s">
        <v>82</v>
      </c>
      <c r="C89" s="61" t="s">
        <v>200</v>
      </c>
      <c r="D89" s="61" t="s">
        <v>177</v>
      </c>
      <c r="E89" s="61">
        <v>350</v>
      </c>
      <c r="F89" s="61">
        <v>17</v>
      </c>
      <c r="G89" s="61" t="s">
        <v>197</v>
      </c>
      <c r="H89" s="62">
        <v>1249.5</v>
      </c>
      <c r="I89" s="63">
        <f t="shared" si="5"/>
        <v>4700.5</v>
      </c>
      <c r="J89" s="59" t="str">
        <f t="shared" si="6"/>
        <v>שבת</v>
      </c>
      <c r="K89" s="64">
        <f t="shared" si="7"/>
        <v>44070</v>
      </c>
      <c r="L89" s="59">
        <f>VLOOKUP(WEEKDAY(A89),'[1]נתונים נוספים'!$C$4:$J$6,VLOOKUP('חתירה למטרה 2'!D89,'[1]נתונים נוספים'!$M$9:$N$15,2,FALSE),TRUE)*'חתירה למטרה 2'!I89</f>
        <v>0</v>
      </c>
    </row>
    <row r="90" spans="1:12" x14ac:dyDescent="0.25">
      <c r="A90" s="60">
        <v>44135</v>
      </c>
      <c r="B90" s="61" t="s">
        <v>101</v>
      </c>
      <c r="C90" s="61" t="s">
        <v>169</v>
      </c>
      <c r="D90" s="61" t="s">
        <v>160</v>
      </c>
      <c r="E90" s="61">
        <v>229</v>
      </c>
      <c r="F90" s="61">
        <v>32</v>
      </c>
      <c r="G90" s="61" t="s">
        <v>161</v>
      </c>
      <c r="H90" s="62">
        <v>512.96</v>
      </c>
      <c r="I90" s="63">
        <f t="shared" si="5"/>
        <v>6815.04</v>
      </c>
      <c r="J90" s="59" t="str">
        <f t="shared" si="6"/>
        <v>שבת</v>
      </c>
      <c r="K90" s="64">
        <f t="shared" si="7"/>
        <v>44175</v>
      </c>
      <c r="L90" s="59">
        <f>VLOOKUP(WEEKDAY(A90),'[1]נתונים נוספים'!$C$4:$J$6,VLOOKUP('חתירה למטרה 2'!D90,'[1]נתונים נוספים'!$M$9:$N$15,2,FALSE),TRUE)*'חתירה למטרה 2'!I90</f>
        <v>0</v>
      </c>
    </row>
    <row r="91" spans="1:12" x14ac:dyDescent="0.25">
      <c r="A91" s="60">
        <v>44226</v>
      </c>
      <c r="B91" s="61" t="s">
        <v>60</v>
      </c>
      <c r="C91" s="61" t="s">
        <v>171</v>
      </c>
      <c r="D91" s="61" t="s">
        <v>164</v>
      </c>
      <c r="E91" s="61">
        <v>119</v>
      </c>
      <c r="F91" s="61">
        <v>21</v>
      </c>
      <c r="G91" s="61" t="s">
        <v>212</v>
      </c>
      <c r="H91" s="62">
        <v>574.77</v>
      </c>
      <c r="I91" s="63">
        <f t="shared" si="5"/>
        <v>1924.23</v>
      </c>
      <c r="J91" s="59" t="str">
        <f t="shared" si="6"/>
        <v>שבת</v>
      </c>
      <c r="K91" s="64">
        <f t="shared" si="7"/>
        <v>44246</v>
      </c>
      <c r="L91" s="59">
        <f>VLOOKUP(WEEKDAY(A91),'[1]נתונים נוספים'!$C$4:$J$6,VLOOKUP('חתירה למטרה 2'!D91,'[1]נתונים נוספים'!$M$9:$N$15,2,FALSE),TRUE)*'חתירה למטרה 2'!I91</f>
        <v>105.83265</v>
      </c>
    </row>
    <row r="92" spans="1:12" x14ac:dyDescent="0.25">
      <c r="A92" s="60">
        <v>44014</v>
      </c>
      <c r="B92" s="61" t="s">
        <v>162</v>
      </c>
      <c r="C92" s="61" t="s">
        <v>190</v>
      </c>
      <c r="D92" s="61" t="s">
        <v>191</v>
      </c>
      <c r="E92" s="61">
        <v>280</v>
      </c>
      <c r="F92" s="61">
        <v>18</v>
      </c>
      <c r="G92" s="61" t="s">
        <v>165</v>
      </c>
      <c r="H92" s="62">
        <v>604.79999999999995</v>
      </c>
      <c r="I92" s="63">
        <f t="shared" si="5"/>
        <v>4435.2</v>
      </c>
      <c r="J92" s="59" t="str">
        <f t="shared" si="6"/>
        <v>יום חמישי</v>
      </c>
      <c r="K92" s="64">
        <f t="shared" si="7"/>
        <v>44104</v>
      </c>
      <c r="L92" s="59">
        <f>VLOOKUP(WEEKDAY(A92),'[1]נתונים נוספים'!$C$4:$J$6,VLOOKUP('חתירה למטרה 2'!D92,'[1]נתונים נוספים'!$M$9:$N$15,2,FALSE),TRUE)*'חתירה למטרה 2'!I92</f>
        <v>0</v>
      </c>
    </row>
    <row r="93" spans="1:12" x14ac:dyDescent="0.25">
      <c r="A93" s="60">
        <v>44207</v>
      </c>
      <c r="B93" s="61" t="s">
        <v>101</v>
      </c>
      <c r="C93" s="61" t="s">
        <v>187</v>
      </c>
      <c r="D93" s="61" t="s">
        <v>177</v>
      </c>
      <c r="E93" s="61">
        <v>99</v>
      </c>
      <c r="F93" s="61">
        <v>16</v>
      </c>
      <c r="G93" s="61" t="s">
        <v>188</v>
      </c>
      <c r="H93" s="62">
        <v>221.76000000000002</v>
      </c>
      <c r="I93" s="63">
        <f t="shared" si="5"/>
        <v>1362.24</v>
      </c>
      <c r="J93" s="59" t="str">
        <f t="shared" si="6"/>
        <v>יום שני</v>
      </c>
      <c r="K93" s="64">
        <f t="shared" si="7"/>
        <v>44227</v>
      </c>
      <c r="L93" s="59">
        <f>VLOOKUP(WEEKDAY(A93),'[1]נתונים נוספים'!$C$4:$J$6,VLOOKUP('חתירה למטרה 2'!D93,'[1]נתונים נוספים'!$M$9:$N$15,2,FALSE),TRUE)*'חתירה למטרה 2'!I93</f>
        <v>27.244800000000001</v>
      </c>
    </row>
    <row r="94" spans="1:12" x14ac:dyDescent="0.25">
      <c r="A94" s="60">
        <v>44067</v>
      </c>
      <c r="B94" s="61" t="s">
        <v>101</v>
      </c>
      <c r="C94" s="61" t="s">
        <v>171</v>
      </c>
      <c r="D94" s="61" t="s">
        <v>164</v>
      </c>
      <c r="E94" s="61">
        <v>119</v>
      </c>
      <c r="F94" s="61">
        <v>29</v>
      </c>
      <c r="G94" s="61" t="s">
        <v>188</v>
      </c>
      <c r="H94" s="62">
        <v>897.26</v>
      </c>
      <c r="I94" s="63">
        <f t="shared" si="5"/>
        <v>2553.7399999999998</v>
      </c>
      <c r="J94" s="59" t="str">
        <f t="shared" si="6"/>
        <v>יום שני</v>
      </c>
      <c r="K94" s="64">
        <f t="shared" si="7"/>
        <v>44107</v>
      </c>
      <c r="L94" s="59">
        <f>VLOOKUP(WEEKDAY(A94),'[1]נתונים נוספים'!$C$4:$J$6,VLOOKUP('חתירה למטרה 2'!D94,'[1]נתונים נוספים'!$M$9:$N$15,2,FALSE),TRUE)*'חתירה למטרה 2'!I94</f>
        <v>0</v>
      </c>
    </row>
    <row r="95" spans="1:12" x14ac:dyDescent="0.25">
      <c r="A95" s="60">
        <v>44137</v>
      </c>
      <c r="B95" s="61" t="s">
        <v>162</v>
      </c>
      <c r="C95" s="61" t="s">
        <v>159</v>
      </c>
      <c r="D95" s="61" t="s">
        <v>160</v>
      </c>
      <c r="E95" s="61">
        <v>299</v>
      </c>
      <c r="F95" s="61">
        <v>18</v>
      </c>
      <c r="G95" s="61" t="s">
        <v>189</v>
      </c>
      <c r="H95" s="62">
        <v>1184.04</v>
      </c>
      <c r="I95" s="63">
        <f t="shared" si="5"/>
        <v>4197.96</v>
      </c>
      <c r="J95" s="59" t="str">
        <f t="shared" si="6"/>
        <v>יום שני</v>
      </c>
      <c r="K95" s="64">
        <f t="shared" si="7"/>
        <v>44227</v>
      </c>
      <c r="L95" s="59">
        <f>VLOOKUP(WEEKDAY(A95),'[1]נתונים נוספים'!$C$4:$J$6,VLOOKUP('חתירה למטרה 2'!D95,'[1]נתונים נוספים'!$M$9:$N$15,2,FALSE),TRUE)*'חתירה למטרה 2'!I95</f>
        <v>125.9388</v>
      </c>
    </row>
    <row r="96" spans="1:12" x14ac:dyDescent="0.25">
      <c r="A96" s="60">
        <v>44331</v>
      </c>
      <c r="B96" s="61" t="s">
        <v>175</v>
      </c>
      <c r="C96" s="61" t="s">
        <v>186</v>
      </c>
      <c r="D96" s="61" t="s">
        <v>173</v>
      </c>
      <c r="E96" s="61">
        <v>399</v>
      </c>
      <c r="F96" s="61">
        <v>12</v>
      </c>
      <c r="G96" s="61" t="s">
        <v>193</v>
      </c>
      <c r="H96" s="62">
        <v>622.44000000000005</v>
      </c>
      <c r="I96" s="63">
        <f t="shared" si="5"/>
        <v>4165.5599999999995</v>
      </c>
      <c r="J96" s="59" t="str">
        <f t="shared" si="6"/>
        <v>שבת</v>
      </c>
      <c r="K96" s="64">
        <f t="shared" si="7"/>
        <v>44361</v>
      </c>
      <c r="L96" s="59">
        <f>VLOOKUP(WEEKDAY(A96),'[1]נתונים נוספים'!$C$4:$J$6,VLOOKUP('חתירה למטרה 2'!D96,'[1]נתונים נוספים'!$M$9:$N$15,2,FALSE),TRUE)*'חתירה למטרה 2'!I96</f>
        <v>104.139</v>
      </c>
    </row>
    <row r="97" spans="1:12" x14ac:dyDescent="0.25">
      <c r="A97" s="60">
        <v>44158</v>
      </c>
      <c r="B97" s="61" t="s">
        <v>60</v>
      </c>
      <c r="C97" s="61" t="s">
        <v>198</v>
      </c>
      <c r="D97" s="61" t="s">
        <v>180</v>
      </c>
      <c r="E97" s="61">
        <v>629</v>
      </c>
      <c r="F97" s="61">
        <v>25</v>
      </c>
      <c r="G97" s="61" t="s">
        <v>211</v>
      </c>
      <c r="H97" s="62">
        <v>2358.75</v>
      </c>
      <c r="I97" s="63">
        <f t="shared" si="5"/>
        <v>13366.25</v>
      </c>
      <c r="J97" s="59" t="str">
        <f t="shared" si="6"/>
        <v>יום שני</v>
      </c>
      <c r="K97" s="64">
        <f t="shared" si="7"/>
        <v>44198</v>
      </c>
      <c r="L97" s="59">
        <f>VLOOKUP(WEEKDAY(A97),'[1]נתונים נוספים'!$C$4:$J$6,VLOOKUP('חתירה למטרה 2'!D97,'[1]נתונים נוספים'!$M$9:$N$15,2,FALSE),TRUE)*'חתירה למטרה 2'!I97</f>
        <v>668.3125</v>
      </c>
    </row>
    <row r="98" spans="1:12" x14ac:dyDescent="0.25">
      <c r="A98" s="60">
        <v>44283</v>
      </c>
      <c r="B98" s="61" t="s">
        <v>82</v>
      </c>
      <c r="C98" s="61" t="s">
        <v>190</v>
      </c>
      <c r="D98" s="61" t="s">
        <v>191</v>
      </c>
      <c r="E98" s="61">
        <v>280</v>
      </c>
      <c r="F98" s="61">
        <v>7</v>
      </c>
      <c r="G98" s="61" t="s">
        <v>181</v>
      </c>
      <c r="H98" s="62">
        <v>333.20000000000005</v>
      </c>
      <c r="I98" s="63">
        <f t="shared" si="5"/>
        <v>1626.8</v>
      </c>
      <c r="J98" s="59" t="str">
        <f t="shared" si="6"/>
        <v>יום ראשון</v>
      </c>
      <c r="K98" s="64">
        <f t="shared" si="7"/>
        <v>44303</v>
      </c>
      <c r="L98" s="59">
        <f>VLOOKUP(WEEKDAY(A98),'[1]נתונים נוספים'!$C$4:$J$6,VLOOKUP('חתירה למטרה 2'!D98,'[1]נתונים נוספים'!$M$9:$N$15,2,FALSE),TRUE)*'חתירה למטרה 2'!I98</f>
        <v>16.268000000000001</v>
      </c>
    </row>
    <row r="99" spans="1:12" x14ac:dyDescent="0.25">
      <c r="A99" s="60">
        <v>44133</v>
      </c>
      <c r="B99" s="61" t="s">
        <v>82</v>
      </c>
      <c r="C99" s="61" t="s">
        <v>198</v>
      </c>
      <c r="D99" s="61" t="s">
        <v>180</v>
      </c>
      <c r="E99" s="61">
        <v>629</v>
      </c>
      <c r="F99" s="61">
        <v>30</v>
      </c>
      <c r="G99" s="61" t="s">
        <v>197</v>
      </c>
      <c r="H99" s="62">
        <v>4340.1000000000004</v>
      </c>
      <c r="I99" s="63">
        <f t="shared" si="5"/>
        <v>14529.9</v>
      </c>
      <c r="J99" s="59" t="str">
        <f t="shared" si="6"/>
        <v>יום חמישי</v>
      </c>
      <c r="K99" s="64">
        <f t="shared" si="7"/>
        <v>44173</v>
      </c>
      <c r="L99" s="59">
        <f>VLOOKUP(WEEKDAY(A99),'[1]נתונים נוספים'!$C$4:$J$6,VLOOKUP('חתירה למטרה 2'!D99,'[1]נתונים נוספים'!$M$9:$N$15,2,FALSE),TRUE)*'חתירה למטרה 2'!I99</f>
        <v>1307.691</v>
      </c>
    </row>
    <row r="100" spans="1:12" x14ac:dyDescent="0.25">
      <c r="A100" s="60">
        <v>44005</v>
      </c>
      <c r="B100" s="61" t="s">
        <v>175</v>
      </c>
      <c r="C100" s="61" t="s">
        <v>202</v>
      </c>
      <c r="D100" s="61" t="s">
        <v>177</v>
      </c>
      <c r="E100" s="61">
        <v>599</v>
      </c>
      <c r="F100" s="61">
        <v>19</v>
      </c>
      <c r="G100" s="61" t="s">
        <v>203</v>
      </c>
      <c r="H100" s="62">
        <v>682.86</v>
      </c>
      <c r="I100" s="63">
        <f t="shared" si="5"/>
        <v>10698.14</v>
      </c>
      <c r="J100" s="59" t="str">
        <f t="shared" si="6"/>
        <v>יום שלישי</v>
      </c>
      <c r="K100" s="64">
        <f t="shared" si="7"/>
        <v>44035</v>
      </c>
      <c r="L100" s="59">
        <f>VLOOKUP(WEEKDAY(A100),'[1]נתונים נוספים'!$C$4:$J$6,VLOOKUP('חתירה למטרה 2'!D100,'[1]נתונים נוספים'!$M$9:$N$15,2,FALSE),TRUE)*'חתירה למטרה 2'!I100</f>
        <v>213.96279999999999</v>
      </c>
    </row>
    <row r="101" spans="1:12" x14ac:dyDescent="0.25">
      <c r="A101" s="60">
        <v>44079</v>
      </c>
      <c r="B101" s="61" t="s">
        <v>175</v>
      </c>
      <c r="C101" s="61" t="s">
        <v>186</v>
      </c>
      <c r="D101" s="61" t="s">
        <v>173</v>
      </c>
      <c r="E101" s="61">
        <v>399</v>
      </c>
      <c r="F101" s="61">
        <v>16</v>
      </c>
      <c r="G101" s="61" t="s">
        <v>192</v>
      </c>
      <c r="H101" s="62">
        <v>1659.8400000000001</v>
      </c>
      <c r="I101" s="63">
        <f t="shared" si="5"/>
        <v>4724.16</v>
      </c>
      <c r="J101" s="59" t="str">
        <f t="shared" si="6"/>
        <v>שבת</v>
      </c>
      <c r="K101" s="64">
        <f t="shared" si="7"/>
        <v>44119</v>
      </c>
      <c r="L101" s="59">
        <f>VLOOKUP(WEEKDAY(A101),'[1]נתונים נוספים'!$C$4:$J$6,VLOOKUP('חתירה למטרה 2'!D101,'[1]נתונים נוספים'!$M$9:$N$15,2,FALSE),TRUE)*'חתירה למטרה 2'!I101</f>
        <v>118.104</v>
      </c>
    </row>
    <row r="102" spans="1:12" x14ac:dyDescent="0.25">
      <c r="A102" s="60">
        <v>44015</v>
      </c>
      <c r="B102" s="61" t="s">
        <v>101</v>
      </c>
      <c r="C102" s="61" t="s">
        <v>159</v>
      </c>
      <c r="D102" s="61" t="s">
        <v>160</v>
      </c>
      <c r="E102" s="61">
        <v>299</v>
      </c>
      <c r="F102" s="61">
        <v>25</v>
      </c>
      <c r="G102" s="61" t="s">
        <v>188</v>
      </c>
      <c r="H102" s="62">
        <v>1495</v>
      </c>
      <c r="I102" s="63">
        <f t="shared" si="5"/>
        <v>5980</v>
      </c>
      <c r="J102" s="59" t="str">
        <f t="shared" si="6"/>
        <v>יום שישי</v>
      </c>
      <c r="K102" s="64">
        <f t="shared" si="7"/>
        <v>44055</v>
      </c>
      <c r="L102" s="59">
        <f>VLOOKUP(WEEKDAY(A102),'[1]נתונים נוספים'!$C$4:$J$6,VLOOKUP('חתירה למטרה 2'!D102,'[1]נתונים נוספים'!$M$9:$N$15,2,FALSE),TRUE)*'חתירה למטרה 2'!I102</f>
        <v>0</v>
      </c>
    </row>
    <row r="103" spans="1:12" x14ac:dyDescent="0.25">
      <c r="A103" s="60">
        <v>44036</v>
      </c>
      <c r="B103" s="61" t="s">
        <v>162</v>
      </c>
      <c r="C103" s="61" t="s">
        <v>179</v>
      </c>
      <c r="D103" s="61" t="s">
        <v>180</v>
      </c>
      <c r="E103" s="61">
        <v>499</v>
      </c>
      <c r="F103" s="61">
        <v>8</v>
      </c>
      <c r="G103" s="61" t="s">
        <v>183</v>
      </c>
      <c r="H103" s="62">
        <v>399.20000000000005</v>
      </c>
      <c r="I103" s="63">
        <f t="shared" si="5"/>
        <v>3592.8</v>
      </c>
      <c r="J103" s="59" t="str">
        <f t="shared" si="6"/>
        <v>יום שישי</v>
      </c>
      <c r="K103" s="64">
        <f t="shared" si="7"/>
        <v>44126</v>
      </c>
      <c r="L103" s="59">
        <f>VLOOKUP(WEEKDAY(A103),'[1]נתונים נוספים'!$C$4:$J$6,VLOOKUP('חתירה למטרה 2'!D103,'[1]נתונים נוספים'!$M$9:$N$15,2,FALSE),TRUE)*'חתירה למטרה 2'!I103</f>
        <v>215.56800000000001</v>
      </c>
    </row>
    <row r="104" spans="1:12" x14ac:dyDescent="0.25">
      <c r="A104" s="60">
        <v>44177</v>
      </c>
      <c r="B104" s="61" t="s">
        <v>101</v>
      </c>
      <c r="C104" s="61" t="s">
        <v>204</v>
      </c>
      <c r="D104" s="61" t="s">
        <v>177</v>
      </c>
      <c r="E104" s="61">
        <v>555</v>
      </c>
      <c r="F104" s="61">
        <v>27</v>
      </c>
      <c r="G104" s="61" t="s">
        <v>188</v>
      </c>
      <c r="H104" s="62">
        <v>1348.6499999999999</v>
      </c>
      <c r="I104" s="63">
        <f t="shared" si="5"/>
        <v>13636.35</v>
      </c>
      <c r="J104" s="59" t="str">
        <f t="shared" si="6"/>
        <v>שבת</v>
      </c>
      <c r="K104" s="64">
        <f t="shared" si="7"/>
        <v>44227</v>
      </c>
      <c r="L104" s="59">
        <f>VLOOKUP(WEEKDAY(A104),'[1]נתונים נוספים'!$C$4:$J$6,VLOOKUP('חתירה למטרה 2'!D104,'[1]נתונים נוספים'!$M$9:$N$15,2,FALSE),TRUE)*'חתירה למטרה 2'!I104</f>
        <v>0</v>
      </c>
    </row>
    <row r="105" spans="1:12" x14ac:dyDescent="0.25">
      <c r="A105" s="60">
        <v>44254</v>
      </c>
      <c r="B105" s="61" t="s">
        <v>101</v>
      </c>
      <c r="C105" s="61" t="s">
        <v>159</v>
      </c>
      <c r="D105" s="61" t="s">
        <v>160</v>
      </c>
      <c r="E105" s="61">
        <v>299</v>
      </c>
      <c r="F105" s="61">
        <v>30</v>
      </c>
      <c r="G105" s="61" t="s">
        <v>188</v>
      </c>
      <c r="H105" s="62">
        <v>538.19999999999993</v>
      </c>
      <c r="I105" s="63">
        <f t="shared" si="5"/>
        <v>8431.7999999999993</v>
      </c>
      <c r="J105" s="59" t="str">
        <f t="shared" si="6"/>
        <v>שבת</v>
      </c>
      <c r="K105" s="64">
        <f t="shared" si="7"/>
        <v>44274</v>
      </c>
      <c r="L105" s="59">
        <f>VLOOKUP(WEEKDAY(A105),'[1]נתונים נוספים'!$C$4:$J$6,VLOOKUP('חתירה למטרה 2'!D105,'[1]נתונים נוספים'!$M$9:$N$15,2,FALSE),TRUE)*'חתירה למטרה 2'!I105</f>
        <v>0</v>
      </c>
    </row>
    <row r="106" spans="1:12" x14ac:dyDescent="0.25">
      <c r="A106" s="60">
        <v>44122</v>
      </c>
      <c r="B106" s="61" t="s">
        <v>162</v>
      </c>
      <c r="C106" s="61" t="s">
        <v>172</v>
      </c>
      <c r="D106" s="61" t="s">
        <v>173</v>
      </c>
      <c r="E106" s="61">
        <v>175</v>
      </c>
      <c r="F106" s="61">
        <v>28</v>
      </c>
      <c r="G106" s="61" t="s">
        <v>183</v>
      </c>
      <c r="H106" s="62">
        <v>245</v>
      </c>
      <c r="I106" s="63">
        <f t="shared" si="5"/>
        <v>4655</v>
      </c>
      <c r="J106" s="59" t="str">
        <f t="shared" si="6"/>
        <v>יום ראשון</v>
      </c>
      <c r="K106" s="64">
        <f t="shared" si="7"/>
        <v>44212</v>
      </c>
      <c r="L106" s="59">
        <f>VLOOKUP(WEEKDAY(A106),'[1]נתונים נוספים'!$C$4:$J$6,VLOOKUP('חתירה למטרה 2'!D106,'[1]נתונים נוספים'!$M$9:$N$15,2,FALSE),TRUE)*'חתירה למטרה 2'!I106</f>
        <v>232.75</v>
      </c>
    </row>
    <row r="107" spans="1:12" x14ac:dyDescent="0.25">
      <c r="A107" s="60">
        <v>44184</v>
      </c>
      <c r="B107" s="61" t="s">
        <v>101</v>
      </c>
      <c r="C107" s="61" t="s">
        <v>186</v>
      </c>
      <c r="D107" s="61" t="s">
        <v>173</v>
      </c>
      <c r="E107" s="61">
        <v>399</v>
      </c>
      <c r="F107" s="61">
        <v>15</v>
      </c>
      <c r="G107" s="61" t="s">
        <v>174</v>
      </c>
      <c r="H107" s="62">
        <v>1376.55</v>
      </c>
      <c r="I107" s="63">
        <f t="shared" si="5"/>
        <v>4608.45</v>
      </c>
      <c r="J107" s="59" t="str">
        <f t="shared" si="6"/>
        <v>שבת</v>
      </c>
      <c r="K107" s="64">
        <f t="shared" si="7"/>
        <v>44234</v>
      </c>
      <c r="L107" s="59">
        <f>VLOOKUP(WEEKDAY(A107),'[1]נתונים נוספים'!$C$4:$J$6,VLOOKUP('חתירה למטרה 2'!D107,'[1]נתונים נוספים'!$M$9:$N$15,2,FALSE),TRUE)*'חתירה למטרה 2'!I107</f>
        <v>115.21125000000001</v>
      </c>
    </row>
    <row r="108" spans="1:12" x14ac:dyDescent="0.25">
      <c r="A108" s="60">
        <v>44115</v>
      </c>
      <c r="B108" s="61" t="s">
        <v>162</v>
      </c>
      <c r="C108" s="61" t="s">
        <v>159</v>
      </c>
      <c r="D108" s="61" t="s">
        <v>160</v>
      </c>
      <c r="E108" s="61">
        <v>299</v>
      </c>
      <c r="F108" s="61">
        <v>11</v>
      </c>
      <c r="G108" s="61" t="s">
        <v>183</v>
      </c>
      <c r="H108" s="62">
        <v>197.34</v>
      </c>
      <c r="I108" s="63">
        <f t="shared" si="5"/>
        <v>3091.66</v>
      </c>
      <c r="J108" s="59" t="str">
        <f t="shared" si="6"/>
        <v>יום ראשון</v>
      </c>
      <c r="K108" s="64">
        <f t="shared" si="7"/>
        <v>44205</v>
      </c>
      <c r="L108" s="59">
        <f>VLOOKUP(WEEKDAY(A108),'[1]נתונים נוספים'!$C$4:$J$6,VLOOKUP('חתירה למטרה 2'!D108,'[1]נתונים נוספים'!$M$9:$N$15,2,FALSE),TRUE)*'חתירה למטרה 2'!I108</f>
        <v>92.749799999999993</v>
      </c>
    </row>
    <row r="109" spans="1:12" x14ac:dyDescent="0.25">
      <c r="A109" s="60">
        <v>44361</v>
      </c>
      <c r="B109" s="61" t="s">
        <v>162</v>
      </c>
      <c r="C109" s="61" t="s">
        <v>187</v>
      </c>
      <c r="D109" s="61" t="s">
        <v>177</v>
      </c>
      <c r="E109" s="61">
        <v>99</v>
      </c>
      <c r="F109" s="61">
        <v>10</v>
      </c>
      <c r="G109" s="61" t="s">
        <v>183</v>
      </c>
      <c r="H109" s="62">
        <v>128.70000000000002</v>
      </c>
      <c r="I109" s="63">
        <f t="shared" si="5"/>
        <v>861.3</v>
      </c>
      <c r="J109" s="59" t="str">
        <f t="shared" si="6"/>
        <v>יום שני</v>
      </c>
      <c r="K109" s="64">
        <f t="shared" si="7"/>
        <v>44451</v>
      </c>
      <c r="L109" s="59">
        <f>VLOOKUP(WEEKDAY(A109),'[1]נתונים נוספים'!$C$4:$J$6,VLOOKUP('חתירה למטרה 2'!D109,'[1]נתונים נוספים'!$M$9:$N$15,2,FALSE),TRUE)*'חתירה למטרה 2'!I109</f>
        <v>17.225999999999999</v>
      </c>
    </row>
    <row r="110" spans="1:12" x14ac:dyDescent="0.25">
      <c r="A110" s="60">
        <v>44295</v>
      </c>
      <c r="B110" s="61" t="s">
        <v>82</v>
      </c>
      <c r="C110" s="61" t="s">
        <v>204</v>
      </c>
      <c r="D110" s="61" t="s">
        <v>177</v>
      </c>
      <c r="E110" s="61">
        <v>555</v>
      </c>
      <c r="F110" s="61">
        <v>9</v>
      </c>
      <c r="G110" s="61" t="s">
        <v>199</v>
      </c>
      <c r="H110" s="62">
        <v>399.6</v>
      </c>
      <c r="I110" s="63">
        <f t="shared" si="5"/>
        <v>4595.3999999999996</v>
      </c>
      <c r="J110" s="59" t="str">
        <f t="shared" si="6"/>
        <v>יום שישי</v>
      </c>
      <c r="K110" s="64">
        <f t="shared" si="7"/>
        <v>44325</v>
      </c>
      <c r="L110" s="59">
        <f>VLOOKUP(WEEKDAY(A110),'[1]נתונים נוספים'!$C$4:$J$6,VLOOKUP('חתירה למטרה 2'!D110,'[1]נתונים נוספים'!$M$9:$N$15,2,FALSE),TRUE)*'חתירה למטרה 2'!I110</f>
        <v>0</v>
      </c>
    </row>
    <row r="111" spans="1:12" x14ac:dyDescent="0.25">
      <c r="A111" s="60">
        <v>44308</v>
      </c>
      <c r="B111" s="61" t="s">
        <v>82</v>
      </c>
      <c r="C111" s="61" t="s">
        <v>159</v>
      </c>
      <c r="D111" s="61" t="s">
        <v>160</v>
      </c>
      <c r="E111" s="61">
        <v>299</v>
      </c>
      <c r="F111" s="61">
        <v>31</v>
      </c>
      <c r="G111" s="61" t="s">
        <v>197</v>
      </c>
      <c r="H111" s="62">
        <v>1761.1100000000001</v>
      </c>
      <c r="I111" s="63">
        <f t="shared" si="5"/>
        <v>7507.8899999999994</v>
      </c>
      <c r="J111" s="59" t="str">
        <f t="shared" si="6"/>
        <v>יום חמישי</v>
      </c>
      <c r="K111" s="64">
        <f t="shared" si="7"/>
        <v>44338</v>
      </c>
      <c r="L111" s="59">
        <f>VLOOKUP(WEEKDAY(A111),'[1]נתונים נוספים'!$C$4:$J$6,VLOOKUP('חתירה למטרה 2'!D111,'[1]נתונים נוספים'!$M$9:$N$15,2,FALSE),TRUE)*'חתירה למטרה 2'!I111</f>
        <v>825.86789999999996</v>
      </c>
    </row>
    <row r="112" spans="1:12" x14ac:dyDescent="0.25">
      <c r="A112" s="60">
        <v>44179</v>
      </c>
      <c r="B112" s="61" t="s">
        <v>101</v>
      </c>
      <c r="C112" s="61" t="s">
        <v>176</v>
      </c>
      <c r="D112" s="61" t="s">
        <v>177</v>
      </c>
      <c r="E112" s="61">
        <v>899</v>
      </c>
      <c r="F112" s="61">
        <v>11</v>
      </c>
      <c r="G112" s="61" t="s">
        <v>188</v>
      </c>
      <c r="H112" s="62">
        <v>2175.58</v>
      </c>
      <c r="I112" s="63">
        <f t="shared" si="5"/>
        <v>7713.42</v>
      </c>
      <c r="J112" s="59" t="str">
        <f t="shared" si="6"/>
        <v>יום שני</v>
      </c>
      <c r="K112" s="64">
        <f t="shared" si="7"/>
        <v>44229</v>
      </c>
      <c r="L112" s="59">
        <f>VLOOKUP(WEEKDAY(A112),'[1]נתונים נוספים'!$C$4:$J$6,VLOOKUP('חתירה למטרה 2'!D112,'[1]נתונים נוספים'!$M$9:$N$15,2,FALSE),TRUE)*'חתירה למטרה 2'!I112</f>
        <v>154.26840000000001</v>
      </c>
    </row>
    <row r="113" spans="1:12" x14ac:dyDescent="0.25">
      <c r="A113" s="60">
        <v>44044</v>
      </c>
      <c r="B113" s="61" t="s">
        <v>101</v>
      </c>
      <c r="C113" s="61" t="s">
        <v>182</v>
      </c>
      <c r="D113" s="61" t="s">
        <v>177</v>
      </c>
      <c r="E113" s="61">
        <v>59</v>
      </c>
      <c r="F113" s="61">
        <v>20</v>
      </c>
      <c r="G113" s="61" t="s">
        <v>206</v>
      </c>
      <c r="H113" s="62">
        <v>259.60000000000002</v>
      </c>
      <c r="I113" s="63">
        <f t="shared" si="5"/>
        <v>920.4</v>
      </c>
      <c r="J113" s="59" t="str">
        <f t="shared" si="6"/>
        <v>שבת</v>
      </c>
      <c r="K113" s="64">
        <f t="shared" si="7"/>
        <v>44084</v>
      </c>
      <c r="L113" s="59">
        <f>VLOOKUP(WEEKDAY(A113),'[1]נתונים נוספים'!$C$4:$J$6,VLOOKUP('חתירה למטרה 2'!D113,'[1]נתונים נוספים'!$M$9:$N$15,2,FALSE),TRUE)*'חתירה למטרה 2'!I113</f>
        <v>0</v>
      </c>
    </row>
    <row r="114" spans="1:12" x14ac:dyDescent="0.25">
      <c r="A114" s="60">
        <v>44359</v>
      </c>
      <c r="B114" s="61" t="s">
        <v>101</v>
      </c>
      <c r="C114" s="61" t="s">
        <v>167</v>
      </c>
      <c r="D114" s="61" t="s">
        <v>160</v>
      </c>
      <c r="E114" s="61">
        <v>149</v>
      </c>
      <c r="F114" s="61">
        <v>29</v>
      </c>
      <c r="G114" s="61" t="s">
        <v>161</v>
      </c>
      <c r="H114" s="62">
        <v>432.1</v>
      </c>
      <c r="I114" s="63">
        <f t="shared" si="5"/>
        <v>3888.9</v>
      </c>
      <c r="J114" s="59" t="str">
        <f t="shared" si="6"/>
        <v>שבת</v>
      </c>
      <c r="K114" s="64">
        <f t="shared" si="7"/>
        <v>44389</v>
      </c>
      <c r="L114" s="59">
        <f>VLOOKUP(WEEKDAY(A114),'[1]נתונים נוספים'!$C$4:$J$6,VLOOKUP('חתירה למטרה 2'!D114,'[1]נתונים נוספים'!$M$9:$N$15,2,FALSE),TRUE)*'חתירה למטרה 2'!I114</f>
        <v>0</v>
      </c>
    </row>
    <row r="115" spans="1:12" x14ac:dyDescent="0.25">
      <c r="A115" s="60">
        <v>44113</v>
      </c>
      <c r="B115" s="61" t="s">
        <v>101</v>
      </c>
      <c r="C115" s="61" t="s">
        <v>163</v>
      </c>
      <c r="D115" s="61" t="s">
        <v>164</v>
      </c>
      <c r="E115" s="61">
        <v>139</v>
      </c>
      <c r="F115" s="61">
        <v>3</v>
      </c>
      <c r="G115" s="61" t="s">
        <v>174</v>
      </c>
      <c r="H115" s="62">
        <v>70.89</v>
      </c>
      <c r="I115" s="63">
        <f t="shared" si="5"/>
        <v>346.11</v>
      </c>
      <c r="J115" s="59" t="str">
        <f t="shared" si="6"/>
        <v>יום שישי</v>
      </c>
      <c r="K115" s="64">
        <f t="shared" si="7"/>
        <v>44153</v>
      </c>
      <c r="L115" s="59">
        <f>VLOOKUP(WEEKDAY(A115),'[1]נתונים נוספים'!$C$4:$J$6,VLOOKUP('חתירה למטרה 2'!D115,'[1]נתונים נוספים'!$M$9:$N$15,2,FALSE),TRUE)*'חתירה למטרה 2'!I115</f>
        <v>19.036049999999999</v>
      </c>
    </row>
    <row r="116" spans="1:12" x14ac:dyDescent="0.25">
      <c r="A116" s="60">
        <v>44224</v>
      </c>
      <c r="B116" s="61" t="s">
        <v>162</v>
      </c>
      <c r="C116" s="61" t="s">
        <v>187</v>
      </c>
      <c r="D116" s="61" t="s">
        <v>177</v>
      </c>
      <c r="E116" s="61">
        <v>99</v>
      </c>
      <c r="F116" s="61">
        <v>12</v>
      </c>
      <c r="G116" s="61" t="s">
        <v>183</v>
      </c>
      <c r="H116" s="62">
        <v>71.28</v>
      </c>
      <c r="I116" s="63">
        <f t="shared" si="5"/>
        <v>1116.72</v>
      </c>
      <c r="J116" s="59" t="str">
        <f t="shared" si="6"/>
        <v>יום חמישי</v>
      </c>
      <c r="K116" s="64">
        <f t="shared" si="7"/>
        <v>44314</v>
      </c>
      <c r="L116" s="59">
        <f>VLOOKUP(WEEKDAY(A116),'[1]נתונים נוספים'!$C$4:$J$6,VLOOKUP('חתירה למטרה 2'!D116,'[1]נתונים נוספים'!$M$9:$N$15,2,FALSE),TRUE)*'חתירה למטרה 2'!I116</f>
        <v>44.668800000000005</v>
      </c>
    </row>
    <row r="117" spans="1:12" x14ac:dyDescent="0.25">
      <c r="A117" s="60">
        <v>44337</v>
      </c>
      <c r="B117" s="61" t="s">
        <v>101</v>
      </c>
      <c r="C117" s="61" t="s">
        <v>208</v>
      </c>
      <c r="D117" s="61" t="s">
        <v>209</v>
      </c>
      <c r="E117" s="61">
        <v>199</v>
      </c>
      <c r="F117" s="61">
        <v>7</v>
      </c>
      <c r="G117" s="61" t="s">
        <v>161</v>
      </c>
      <c r="H117" s="62">
        <v>139.30000000000001</v>
      </c>
      <c r="I117" s="63">
        <f t="shared" si="5"/>
        <v>1253.7</v>
      </c>
      <c r="J117" s="59" t="str">
        <f t="shared" si="6"/>
        <v>יום שישי</v>
      </c>
      <c r="K117" s="64">
        <f t="shared" si="7"/>
        <v>44367</v>
      </c>
      <c r="L117" s="59">
        <f>VLOOKUP(WEEKDAY(A117),'[1]נתונים נוספים'!$C$4:$J$6,VLOOKUP('חתירה למטרה 2'!D117,'[1]נתונים נוספים'!$M$9:$N$15,2,FALSE),TRUE)*'חתירה למטרה 2'!I117</f>
        <v>125.37</v>
      </c>
    </row>
    <row r="118" spans="1:12" x14ac:dyDescent="0.25">
      <c r="A118" s="60">
        <v>44112</v>
      </c>
      <c r="B118" s="61" t="s">
        <v>82</v>
      </c>
      <c r="C118" s="61" t="s">
        <v>163</v>
      </c>
      <c r="D118" s="61" t="s">
        <v>164</v>
      </c>
      <c r="E118" s="61">
        <v>139</v>
      </c>
      <c r="F118" s="61">
        <v>20</v>
      </c>
      <c r="G118" s="61" t="s">
        <v>199</v>
      </c>
      <c r="H118" s="62">
        <v>472.6</v>
      </c>
      <c r="I118" s="63">
        <f t="shared" si="5"/>
        <v>2307.4</v>
      </c>
      <c r="J118" s="59" t="str">
        <f t="shared" si="6"/>
        <v>יום חמישי</v>
      </c>
      <c r="K118" s="64">
        <f t="shared" si="7"/>
        <v>44152</v>
      </c>
      <c r="L118" s="59">
        <f>VLOOKUP(WEEKDAY(A118),'[1]נתונים נוספים'!$C$4:$J$6,VLOOKUP('חתירה למטרה 2'!D118,'[1]נתונים נוספים'!$M$9:$N$15,2,FALSE),TRUE)*'חתירה למטרה 2'!I118</f>
        <v>184.59200000000001</v>
      </c>
    </row>
    <row r="119" spans="1:12" x14ac:dyDescent="0.25">
      <c r="A119" s="60">
        <v>44270</v>
      </c>
      <c r="B119" s="61" t="s">
        <v>162</v>
      </c>
      <c r="C119" s="61" t="s">
        <v>176</v>
      </c>
      <c r="D119" s="61" t="s">
        <v>177</v>
      </c>
      <c r="E119" s="61">
        <v>899</v>
      </c>
      <c r="F119" s="61">
        <v>29</v>
      </c>
      <c r="G119" s="61" t="s">
        <v>168</v>
      </c>
      <c r="H119" s="62">
        <v>3128.52</v>
      </c>
      <c r="I119" s="63">
        <f t="shared" si="5"/>
        <v>22942.48</v>
      </c>
      <c r="J119" s="59" t="str">
        <f t="shared" si="6"/>
        <v>יום שני</v>
      </c>
      <c r="K119" s="64">
        <f t="shared" si="7"/>
        <v>44360</v>
      </c>
      <c r="L119" s="59">
        <f>VLOOKUP(WEEKDAY(A119),'[1]נתונים נוספים'!$C$4:$J$6,VLOOKUP('חתירה למטרה 2'!D119,'[1]נתונים נוספים'!$M$9:$N$15,2,FALSE),TRUE)*'חתירה למטרה 2'!I119</f>
        <v>458.84960000000001</v>
      </c>
    </row>
    <row r="120" spans="1:12" x14ac:dyDescent="0.25">
      <c r="A120" s="60">
        <v>44364</v>
      </c>
      <c r="B120" s="61" t="s">
        <v>175</v>
      </c>
      <c r="C120" s="61" t="s">
        <v>176</v>
      </c>
      <c r="D120" s="61" t="s">
        <v>177</v>
      </c>
      <c r="E120" s="61">
        <v>899</v>
      </c>
      <c r="F120" s="61">
        <v>14</v>
      </c>
      <c r="G120" s="61" t="s">
        <v>193</v>
      </c>
      <c r="H120" s="62">
        <v>1510.32</v>
      </c>
      <c r="I120" s="63">
        <f t="shared" si="5"/>
        <v>11075.68</v>
      </c>
      <c r="J120" s="59" t="str">
        <f t="shared" si="6"/>
        <v>יום חמישי</v>
      </c>
      <c r="K120" s="64">
        <f t="shared" si="7"/>
        <v>44394</v>
      </c>
      <c r="L120" s="59">
        <f>VLOOKUP(WEEKDAY(A120),'[1]נתונים נוספים'!$C$4:$J$6,VLOOKUP('חתירה למטרה 2'!D120,'[1]נתונים נוספים'!$M$9:$N$15,2,FALSE),TRUE)*'חתירה למטרה 2'!I120</f>
        <v>443.02719999999999</v>
      </c>
    </row>
    <row r="121" spans="1:12" x14ac:dyDescent="0.25">
      <c r="A121" s="60">
        <v>44150</v>
      </c>
      <c r="B121" s="61" t="s">
        <v>162</v>
      </c>
      <c r="C121" s="61" t="s">
        <v>159</v>
      </c>
      <c r="D121" s="61" t="s">
        <v>160</v>
      </c>
      <c r="E121" s="61">
        <v>299</v>
      </c>
      <c r="F121" s="61">
        <v>6</v>
      </c>
      <c r="G121" s="61" t="s">
        <v>183</v>
      </c>
      <c r="H121" s="62">
        <v>107.64</v>
      </c>
      <c r="I121" s="63">
        <f t="shared" si="5"/>
        <v>1686.36</v>
      </c>
      <c r="J121" s="59" t="str">
        <f t="shared" si="6"/>
        <v>יום ראשון</v>
      </c>
      <c r="K121" s="64">
        <f t="shared" si="7"/>
        <v>44240</v>
      </c>
      <c r="L121" s="59">
        <f>VLOOKUP(WEEKDAY(A121),'[1]נתונים נוספים'!$C$4:$J$6,VLOOKUP('חתירה למטרה 2'!D121,'[1]נתונים נוספים'!$M$9:$N$15,2,FALSE),TRUE)*'חתירה למטרה 2'!I121</f>
        <v>50.590799999999994</v>
      </c>
    </row>
    <row r="122" spans="1:12" x14ac:dyDescent="0.25">
      <c r="A122" s="60">
        <v>44282</v>
      </c>
      <c r="B122" s="61" t="s">
        <v>101</v>
      </c>
      <c r="C122" s="61" t="s">
        <v>176</v>
      </c>
      <c r="D122" s="61" t="s">
        <v>177</v>
      </c>
      <c r="E122" s="61">
        <v>899</v>
      </c>
      <c r="F122" s="61">
        <v>9</v>
      </c>
      <c r="G122" s="61" t="s">
        <v>188</v>
      </c>
      <c r="H122" s="62">
        <v>566.37</v>
      </c>
      <c r="I122" s="63">
        <f t="shared" si="5"/>
        <v>7524.63</v>
      </c>
      <c r="J122" s="59" t="str">
        <f t="shared" si="6"/>
        <v>שבת</v>
      </c>
      <c r="K122" s="64">
        <f t="shared" si="7"/>
        <v>44302</v>
      </c>
      <c r="L122" s="59">
        <f>VLOOKUP(WEEKDAY(A122),'[1]נתונים נוספים'!$C$4:$J$6,VLOOKUP('חתירה למטרה 2'!D122,'[1]נתונים נוספים'!$M$9:$N$15,2,FALSE),TRUE)*'חתירה למטרה 2'!I122</f>
        <v>0</v>
      </c>
    </row>
    <row r="123" spans="1:12" x14ac:dyDescent="0.25">
      <c r="A123" s="60">
        <v>44256</v>
      </c>
      <c r="B123" s="61" t="s">
        <v>101</v>
      </c>
      <c r="C123" s="61" t="s">
        <v>198</v>
      </c>
      <c r="D123" s="61" t="s">
        <v>180</v>
      </c>
      <c r="E123" s="61">
        <v>629</v>
      </c>
      <c r="F123" s="61">
        <v>3</v>
      </c>
      <c r="G123" s="61" t="s">
        <v>188</v>
      </c>
      <c r="H123" s="62">
        <v>320.79000000000002</v>
      </c>
      <c r="I123" s="63">
        <f t="shared" si="5"/>
        <v>1566.21</v>
      </c>
      <c r="J123" s="59" t="str">
        <f t="shared" si="6"/>
        <v>יום שני</v>
      </c>
      <c r="K123" s="64">
        <f t="shared" si="7"/>
        <v>44276</v>
      </c>
      <c r="L123" s="59">
        <f>VLOOKUP(WEEKDAY(A123),'[1]נתונים נוספים'!$C$4:$J$6,VLOOKUP('חתירה למטרה 2'!D123,'[1]נתונים נוספים'!$M$9:$N$15,2,FALSE),TRUE)*'חתירה למטרה 2'!I123</f>
        <v>78.310500000000005</v>
      </c>
    </row>
    <row r="124" spans="1:12" x14ac:dyDescent="0.25">
      <c r="A124" s="60">
        <v>44040</v>
      </c>
      <c r="B124" s="61" t="s">
        <v>162</v>
      </c>
      <c r="C124" s="61" t="s">
        <v>182</v>
      </c>
      <c r="D124" s="61" t="s">
        <v>177</v>
      </c>
      <c r="E124" s="61">
        <v>59</v>
      </c>
      <c r="F124" s="61">
        <v>2</v>
      </c>
      <c r="G124" s="61" t="s">
        <v>189</v>
      </c>
      <c r="H124" s="62">
        <v>22.42</v>
      </c>
      <c r="I124" s="63">
        <f t="shared" si="5"/>
        <v>95.58</v>
      </c>
      <c r="J124" s="59" t="str">
        <f t="shared" si="6"/>
        <v>יום שלישי</v>
      </c>
      <c r="K124" s="64">
        <f t="shared" si="7"/>
        <v>44130</v>
      </c>
      <c r="L124" s="59">
        <f>VLOOKUP(WEEKDAY(A124),'[1]נתונים נוספים'!$C$4:$J$6,VLOOKUP('חתירה למטרה 2'!D124,'[1]נתונים נוספים'!$M$9:$N$15,2,FALSE),TRUE)*'חתירה למטרה 2'!I124</f>
        <v>1.9116</v>
      </c>
    </row>
    <row r="125" spans="1:12" x14ac:dyDescent="0.25">
      <c r="A125" s="60">
        <v>44154</v>
      </c>
      <c r="B125" s="61" t="s">
        <v>82</v>
      </c>
      <c r="C125" s="61" t="s">
        <v>159</v>
      </c>
      <c r="D125" s="61" t="s">
        <v>160</v>
      </c>
      <c r="E125" s="61">
        <v>299</v>
      </c>
      <c r="F125" s="61">
        <v>19</v>
      </c>
      <c r="G125" s="61" t="s">
        <v>199</v>
      </c>
      <c r="H125" s="62">
        <v>1306.6300000000001</v>
      </c>
      <c r="I125" s="63">
        <f t="shared" si="5"/>
        <v>4374.37</v>
      </c>
      <c r="J125" s="59" t="str">
        <f t="shared" si="6"/>
        <v>יום חמישי</v>
      </c>
      <c r="K125" s="64">
        <f t="shared" si="7"/>
        <v>44194</v>
      </c>
      <c r="L125" s="59">
        <f>VLOOKUP(WEEKDAY(A125),'[1]נתונים נוספים'!$C$4:$J$6,VLOOKUP('חתירה למטרה 2'!D125,'[1]נתונים נוספים'!$M$9:$N$15,2,FALSE),TRUE)*'חתירה למטרה 2'!I125</f>
        <v>481.1807</v>
      </c>
    </row>
    <row r="126" spans="1:12" x14ac:dyDescent="0.25">
      <c r="A126" s="60">
        <v>44017</v>
      </c>
      <c r="B126" s="61" t="s">
        <v>101</v>
      </c>
      <c r="C126" s="61" t="s">
        <v>167</v>
      </c>
      <c r="D126" s="61" t="s">
        <v>160</v>
      </c>
      <c r="E126" s="61">
        <v>149</v>
      </c>
      <c r="F126" s="61">
        <v>18</v>
      </c>
      <c r="G126" s="61" t="s">
        <v>174</v>
      </c>
      <c r="H126" s="62">
        <v>482.76</v>
      </c>
      <c r="I126" s="63">
        <f t="shared" si="5"/>
        <v>2199.2399999999998</v>
      </c>
      <c r="J126" s="59" t="str">
        <f t="shared" si="6"/>
        <v>יום ראשון</v>
      </c>
      <c r="K126" s="64">
        <f t="shared" si="7"/>
        <v>44057</v>
      </c>
      <c r="L126" s="59">
        <f>VLOOKUP(WEEKDAY(A126),'[1]נתונים נוספים'!$C$4:$J$6,VLOOKUP('חתירה למטרה 2'!D126,'[1]נתונים נוספים'!$M$9:$N$15,2,FALSE),TRUE)*'חתירה למטרה 2'!I126</f>
        <v>65.977199999999996</v>
      </c>
    </row>
    <row r="127" spans="1:12" x14ac:dyDescent="0.25">
      <c r="A127" s="60">
        <v>44210</v>
      </c>
      <c r="B127" s="61" t="s">
        <v>82</v>
      </c>
      <c r="C127" s="61" t="s">
        <v>202</v>
      </c>
      <c r="D127" s="61" t="s">
        <v>177</v>
      </c>
      <c r="E127" s="61">
        <v>599</v>
      </c>
      <c r="F127" s="61">
        <v>10</v>
      </c>
      <c r="G127" s="61" t="s">
        <v>170</v>
      </c>
      <c r="H127" s="62">
        <v>1497.5</v>
      </c>
      <c r="I127" s="63">
        <f t="shared" si="5"/>
        <v>4492.5</v>
      </c>
      <c r="J127" s="59" t="str">
        <f t="shared" si="6"/>
        <v>יום חמישי</v>
      </c>
      <c r="K127" s="64">
        <f t="shared" si="7"/>
        <v>44230</v>
      </c>
      <c r="L127" s="59">
        <f>VLOOKUP(WEEKDAY(A127),'[1]נתונים נוספים'!$C$4:$J$6,VLOOKUP('חתירה למטרה 2'!D127,'[1]נתונים נוספים'!$M$9:$N$15,2,FALSE),TRUE)*'חתירה למטרה 2'!I127</f>
        <v>179.70000000000002</v>
      </c>
    </row>
    <row r="128" spans="1:12" x14ac:dyDescent="0.25">
      <c r="A128" s="60">
        <v>44019</v>
      </c>
      <c r="B128" s="61" t="s">
        <v>101</v>
      </c>
      <c r="C128" s="61" t="s">
        <v>198</v>
      </c>
      <c r="D128" s="61" t="s">
        <v>180</v>
      </c>
      <c r="E128" s="61">
        <v>629</v>
      </c>
      <c r="F128" s="61">
        <v>22</v>
      </c>
      <c r="G128" s="61" t="s">
        <v>161</v>
      </c>
      <c r="H128" s="62">
        <v>3321.12</v>
      </c>
      <c r="I128" s="63">
        <f t="shared" si="5"/>
        <v>10516.880000000001</v>
      </c>
      <c r="J128" s="59" t="str">
        <f t="shared" si="6"/>
        <v>יום שלישי</v>
      </c>
      <c r="K128" s="64">
        <f t="shared" si="7"/>
        <v>44059</v>
      </c>
      <c r="L128" s="59">
        <f>VLOOKUP(WEEKDAY(A128),'[1]נתונים נוספים'!$C$4:$J$6,VLOOKUP('חתירה למטרה 2'!D128,'[1]נתונים נוספים'!$M$9:$N$15,2,FALSE),TRUE)*'חתירה למטרה 2'!I128</f>
        <v>525.84400000000005</v>
      </c>
    </row>
    <row r="129" spans="1:12" x14ac:dyDescent="0.25">
      <c r="A129" s="60">
        <v>44123</v>
      </c>
      <c r="B129" s="61" t="s">
        <v>82</v>
      </c>
      <c r="C129" s="61" t="s">
        <v>167</v>
      </c>
      <c r="D129" s="61" t="s">
        <v>160</v>
      </c>
      <c r="E129" s="61">
        <v>149</v>
      </c>
      <c r="F129" s="61">
        <v>19</v>
      </c>
      <c r="G129" s="61" t="s">
        <v>197</v>
      </c>
      <c r="H129" s="62">
        <v>566.20000000000005</v>
      </c>
      <c r="I129" s="63">
        <f t="shared" si="5"/>
        <v>2264.8000000000002</v>
      </c>
      <c r="J129" s="59" t="str">
        <f t="shared" si="6"/>
        <v>יום שני</v>
      </c>
      <c r="K129" s="64">
        <f t="shared" si="7"/>
        <v>44163</v>
      </c>
      <c r="L129" s="59">
        <f>VLOOKUP(WEEKDAY(A129),'[1]נתונים נוספים'!$C$4:$J$6,VLOOKUP('חתירה למטרה 2'!D129,'[1]נתונים נוספים'!$M$9:$N$15,2,FALSE),TRUE)*'חתירה למטרה 2'!I129</f>
        <v>67.944000000000003</v>
      </c>
    </row>
    <row r="130" spans="1:12" x14ac:dyDescent="0.25">
      <c r="A130" s="60">
        <v>44338</v>
      </c>
      <c r="B130" s="61" t="s">
        <v>162</v>
      </c>
      <c r="C130" s="61" t="s">
        <v>198</v>
      </c>
      <c r="D130" s="61" t="s">
        <v>180</v>
      </c>
      <c r="E130" s="61">
        <v>629</v>
      </c>
      <c r="F130" s="61">
        <v>7</v>
      </c>
      <c r="G130" s="61" t="s">
        <v>168</v>
      </c>
      <c r="H130" s="62">
        <v>308.21000000000004</v>
      </c>
      <c r="I130" s="63">
        <f t="shared" si="5"/>
        <v>4094.79</v>
      </c>
      <c r="J130" s="59" t="str">
        <f t="shared" si="6"/>
        <v>שבת</v>
      </c>
      <c r="K130" s="64">
        <f t="shared" si="7"/>
        <v>44428</v>
      </c>
      <c r="L130" s="59">
        <f>VLOOKUP(WEEKDAY(A130),'[1]נתונים נוספים'!$C$4:$J$6,VLOOKUP('חתירה למטרה 2'!D130,'[1]נתונים נוספים'!$M$9:$N$15,2,FALSE),TRUE)*'חתירה למטרה 2'!I130</f>
        <v>245.6874</v>
      </c>
    </row>
    <row r="131" spans="1:12" x14ac:dyDescent="0.25">
      <c r="A131" s="60">
        <v>44035</v>
      </c>
      <c r="B131" s="61" t="s">
        <v>101</v>
      </c>
      <c r="C131" s="61" t="s">
        <v>167</v>
      </c>
      <c r="D131" s="61" t="s">
        <v>160</v>
      </c>
      <c r="E131" s="61">
        <v>149</v>
      </c>
      <c r="F131" s="61">
        <v>16</v>
      </c>
      <c r="G131" s="61" t="s">
        <v>188</v>
      </c>
      <c r="H131" s="62">
        <v>429.12</v>
      </c>
      <c r="I131" s="63">
        <f t="shared" ref="I131:I194" si="8">E131*F131-H131</f>
        <v>1954.88</v>
      </c>
      <c r="J131" s="59" t="str">
        <f t="shared" ref="J131:J194" si="9">TEXT(A131,"dddd")</f>
        <v>יום חמישי</v>
      </c>
      <c r="K131" s="64">
        <f t="shared" ref="K131:K194" si="10">IF(B131=$K$270,A131+$L$270,VLOOKUP(MONTH(A131),$K$272:$L$275,2,TRUE)+A131)</f>
        <v>44075</v>
      </c>
      <c r="L131" s="59">
        <f>VLOOKUP(WEEKDAY(A131),'[1]נתונים נוספים'!$C$4:$J$6,VLOOKUP('חתירה למטרה 2'!D131,'[1]נתונים נוספים'!$M$9:$N$15,2,FALSE),TRUE)*'חתירה למטרה 2'!I131</f>
        <v>215.0368</v>
      </c>
    </row>
    <row r="132" spans="1:12" x14ac:dyDescent="0.25">
      <c r="A132" s="60">
        <v>44319</v>
      </c>
      <c r="B132" s="61" t="s">
        <v>82</v>
      </c>
      <c r="C132" s="61" t="s">
        <v>171</v>
      </c>
      <c r="D132" s="61" t="s">
        <v>164</v>
      </c>
      <c r="E132" s="61">
        <v>119</v>
      </c>
      <c r="F132" s="61">
        <v>13</v>
      </c>
      <c r="G132" s="61" t="s">
        <v>181</v>
      </c>
      <c r="H132" s="62">
        <v>355.81</v>
      </c>
      <c r="I132" s="63">
        <f t="shared" si="8"/>
        <v>1191.19</v>
      </c>
      <c r="J132" s="59" t="str">
        <f t="shared" si="9"/>
        <v>יום שני</v>
      </c>
      <c r="K132" s="64">
        <f t="shared" si="10"/>
        <v>44349</v>
      </c>
      <c r="L132" s="59">
        <f>VLOOKUP(WEEKDAY(A132),'[1]נתונים נוספים'!$C$4:$J$6,VLOOKUP('חתירה למטרה 2'!D132,'[1]נתונים נוספים'!$M$9:$N$15,2,FALSE),TRUE)*'חתירה למטרה 2'!I132</f>
        <v>0</v>
      </c>
    </row>
    <row r="133" spans="1:12" x14ac:dyDescent="0.25">
      <c r="A133" s="60">
        <v>44217</v>
      </c>
      <c r="B133" s="61" t="s">
        <v>101</v>
      </c>
      <c r="C133" s="61" t="s">
        <v>179</v>
      </c>
      <c r="D133" s="61" t="s">
        <v>180</v>
      </c>
      <c r="E133" s="61">
        <v>499</v>
      </c>
      <c r="F133" s="61">
        <v>3</v>
      </c>
      <c r="G133" s="61" t="s">
        <v>206</v>
      </c>
      <c r="H133" s="62">
        <v>119.76</v>
      </c>
      <c r="I133" s="63">
        <f t="shared" si="8"/>
        <v>1377.24</v>
      </c>
      <c r="J133" s="59" t="str">
        <f t="shared" si="9"/>
        <v>יום חמישי</v>
      </c>
      <c r="K133" s="64">
        <f t="shared" si="10"/>
        <v>44237</v>
      </c>
      <c r="L133" s="59">
        <f>VLOOKUP(WEEKDAY(A133),'[1]נתונים נוספים'!$C$4:$J$6,VLOOKUP('חתירה למטרה 2'!D133,'[1]נתונים נוספים'!$M$9:$N$15,2,FALSE),TRUE)*'חתירה למטרה 2'!I133</f>
        <v>123.9516</v>
      </c>
    </row>
    <row r="134" spans="1:12" x14ac:dyDescent="0.25">
      <c r="A134" s="60">
        <v>44128</v>
      </c>
      <c r="B134" s="61" t="s">
        <v>162</v>
      </c>
      <c r="C134" s="61" t="s">
        <v>210</v>
      </c>
      <c r="D134" s="61" t="s">
        <v>209</v>
      </c>
      <c r="E134" s="61">
        <v>99</v>
      </c>
      <c r="F134" s="61">
        <v>28</v>
      </c>
      <c r="G134" s="61" t="s">
        <v>183</v>
      </c>
      <c r="H134" s="62">
        <v>609.84</v>
      </c>
      <c r="I134" s="63">
        <f t="shared" si="8"/>
        <v>2162.16</v>
      </c>
      <c r="J134" s="59" t="str">
        <f t="shared" si="9"/>
        <v>שבת</v>
      </c>
      <c r="K134" s="64">
        <f t="shared" si="10"/>
        <v>44218</v>
      </c>
      <c r="L134" s="59">
        <f>VLOOKUP(WEEKDAY(A134),'[1]נתונים נוספים'!$C$4:$J$6,VLOOKUP('חתירה למטרה 2'!D134,'[1]נתונים נוספים'!$M$9:$N$15,2,FALSE),TRUE)*'חתירה למטרה 2'!I134</f>
        <v>216.21600000000001</v>
      </c>
    </row>
    <row r="135" spans="1:12" x14ac:dyDescent="0.25">
      <c r="A135" s="60">
        <v>44056</v>
      </c>
      <c r="B135" s="61" t="s">
        <v>162</v>
      </c>
      <c r="C135" s="61" t="s">
        <v>159</v>
      </c>
      <c r="D135" s="61" t="s">
        <v>160</v>
      </c>
      <c r="E135" s="61">
        <v>299</v>
      </c>
      <c r="F135" s="61">
        <v>6</v>
      </c>
      <c r="G135" s="61" t="s">
        <v>189</v>
      </c>
      <c r="H135" s="62">
        <v>197.34</v>
      </c>
      <c r="I135" s="63">
        <f t="shared" si="8"/>
        <v>1596.66</v>
      </c>
      <c r="J135" s="59" t="str">
        <f t="shared" si="9"/>
        <v>יום חמישי</v>
      </c>
      <c r="K135" s="64">
        <f t="shared" si="10"/>
        <v>44146</v>
      </c>
      <c r="L135" s="59">
        <f>VLOOKUP(WEEKDAY(A135),'[1]נתונים נוספים'!$C$4:$J$6,VLOOKUP('חתירה למטרה 2'!D135,'[1]נתונים נוספים'!$M$9:$N$15,2,FALSE),TRUE)*'חתירה למטרה 2'!I135</f>
        <v>175.6326</v>
      </c>
    </row>
    <row r="136" spans="1:12" x14ac:dyDescent="0.25">
      <c r="A136" s="60">
        <v>44189</v>
      </c>
      <c r="B136" s="61" t="s">
        <v>82</v>
      </c>
      <c r="C136" s="61" t="s">
        <v>163</v>
      </c>
      <c r="D136" s="61" t="s">
        <v>164</v>
      </c>
      <c r="E136" s="61">
        <v>139</v>
      </c>
      <c r="F136" s="61">
        <v>27</v>
      </c>
      <c r="G136" s="61" t="s">
        <v>199</v>
      </c>
      <c r="H136" s="62">
        <v>863.19</v>
      </c>
      <c r="I136" s="63">
        <f t="shared" si="8"/>
        <v>2889.81</v>
      </c>
      <c r="J136" s="59" t="str">
        <f t="shared" si="9"/>
        <v>יום חמישי</v>
      </c>
      <c r="K136" s="64">
        <f t="shared" si="10"/>
        <v>44239</v>
      </c>
      <c r="L136" s="59">
        <f>VLOOKUP(WEEKDAY(A136),'[1]נתונים נוספים'!$C$4:$J$6,VLOOKUP('חתירה למטרה 2'!D136,'[1]נתונים נוספים'!$M$9:$N$15,2,FALSE),TRUE)*'חתירה למטרה 2'!I136</f>
        <v>231.1848</v>
      </c>
    </row>
    <row r="137" spans="1:12" x14ac:dyDescent="0.25">
      <c r="A137" s="60">
        <v>44043</v>
      </c>
      <c r="B137" s="61" t="s">
        <v>175</v>
      </c>
      <c r="C137" s="61" t="s">
        <v>194</v>
      </c>
      <c r="D137" s="61" t="s">
        <v>164</v>
      </c>
      <c r="E137" s="61">
        <v>75</v>
      </c>
      <c r="F137" s="61">
        <v>14</v>
      </c>
      <c r="G137" s="61" t="s">
        <v>193</v>
      </c>
      <c r="H137" s="62">
        <v>231</v>
      </c>
      <c r="I137" s="63">
        <f t="shared" si="8"/>
        <v>819</v>
      </c>
      <c r="J137" s="59" t="str">
        <f t="shared" si="9"/>
        <v>יום שישי</v>
      </c>
      <c r="K137" s="64">
        <f t="shared" si="10"/>
        <v>44083</v>
      </c>
      <c r="L137" s="59">
        <f>VLOOKUP(WEEKDAY(A137),'[1]נתונים נוספים'!$C$4:$J$6,VLOOKUP('חתירה למטרה 2'!D137,'[1]נתונים נוספים'!$M$9:$N$15,2,FALSE),TRUE)*'חתירה למטרה 2'!I137</f>
        <v>45.045000000000002</v>
      </c>
    </row>
    <row r="138" spans="1:12" x14ac:dyDescent="0.25">
      <c r="A138" s="60">
        <v>44064</v>
      </c>
      <c r="B138" s="61" t="s">
        <v>82</v>
      </c>
      <c r="C138" s="61" t="s">
        <v>179</v>
      </c>
      <c r="D138" s="61" t="s">
        <v>180</v>
      </c>
      <c r="E138" s="61">
        <v>499</v>
      </c>
      <c r="F138" s="61">
        <v>11</v>
      </c>
      <c r="G138" s="61" t="s">
        <v>181</v>
      </c>
      <c r="H138" s="62">
        <v>823.35</v>
      </c>
      <c r="I138" s="63">
        <f t="shared" si="8"/>
        <v>4665.6499999999996</v>
      </c>
      <c r="J138" s="59" t="str">
        <f t="shared" si="9"/>
        <v>יום שישי</v>
      </c>
      <c r="K138" s="64">
        <f t="shared" si="10"/>
        <v>44104</v>
      </c>
      <c r="L138" s="59">
        <f>VLOOKUP(WEEKDAY(A138),'[1]נתונים נוספים'!$C$4:$J$6,VLOOKUP('חתירה למטרה 2'!D138,'[1]נתונים נוספים'!$M$9:$N$15,2,FALSE),TRUE)*'חתירה למטרה 2'!I138</f>
        <v>279.93899999999996</v>
      </c>
    </row>
    <row r="139" spans="1:12" x14ac:dyDescent="0.25">
      <c r="A139" s="60">
        <v>44038</v>
      </c>
      <c r="B139" s="61" t="s">
        <v>162</v>
      </c>
      <c r="C139" s="61" t="s">
        <v>163</v>
      </c>
      <c r="D139" s="61" t="s">
        <v>164</v>
      </c>
      <c r="E139" s="61">
        <v>139</v>
      </c>
      <c r="F139" s="61">
        <v>17</v>
      </c>
      <c r="G139" s="61" t="s">
        <v>168</v>
      </c>
      <c r="H139" s="62">
        <v>259.93</v>
      </c>
      <c r="I139" s="63">
        <f t="shared" si="8"/>
        <v>2103.0700000000002</v>
      </c>
      <c r="J139" s="59" t="str">
        <f t="shared" si="9"/>
        <v>יום ראשון</v>
      </c>
      <c r="K139" s="64">
        <f t="shared" si="10"/>
        <v>44128</v>
      </c>
      <c r="L139" s="59">
        <f>VLOOKUP(WEEKDAY(A139),'[1]נתונים נוספים'!$C$4:$J$6,VLOOKUP('חתירה למטרה 2'!D139,'[1]נתונים נוספים'!$M$9:$N$15,2,FALSE),TRUE)*'חתירה למטרה 2'!I139</f>
        <v>0</v>
      </c>
    </row>
    <row r="140" spans="1:12" x14ac:dyDescent="0.25">
      <c r="A140" s="60">
        <v>44267</v>
      </c>
      <c r="B140" s="61" t="s">
        <v>175</v>
      </c>
      <c r="C140" s="61" t="s">
        <v>182</v>
      </c>
      <c r="D140" s="61" t="s">
        <v>177</v>
      </c>
      <c r="E140" s="61">
        <v>59</v>
      </c>
      <c r="F140" s="61">
        <v>3</v>
      </c>
      <c r="G140" s="61" t="s">
        <v>213</v>
      </c>
      <c r="H140" s="62">
        <v>44.25</v>
      </c>
      <c r="I140" s="63">
        <f t="shared" si="8"/>
        <v>132.75</v>
      </c>
      <c r="J140" s="59" t="str">
        <f t="shared" si="9"/>
        <v>יום שישי</v>
      </c>
      <c r="K140" s="64">
        <f t="shared" si="10"/>
        <v>44287</v>
      </c>
      <c r="L140" s="59">
        <f>VLOOKUP(WEEKDAY(A140),'[1]נתונים נוספים'!$C$4:$J$6,VLOOKUP('חתירה למטרה 2'!D140,'[1]נתונים נוספים'!$M$9:$N$15,2,FALSE),TRUE)*'חתירה למטרה 2'!I140</f>
        <v>0</v>
      </c>
    </row>
    <row r="141" spans="1:12" x14ac:dyDescent="0.25">
      <c r="A141" s="60">
        <v>44050</v>
      </c>
      <c r="B141" s="61" t="s">
        <v>101</v>
      </c>
      <c r="C141" s="61" t="s">
        <v>179</v>
      </c>
      <c r="D141" s="61" t="s">
        <v>180</v>
      </c>
      <c r="E141" s="61">
        <v>499</v>
      </c>
      <c r="F141" s="61">
        <v>3</v>
      </c>
      <c r="G141" s="61" t="s">
        <v>188</v>
      </c>
      <c r="H141" s="62">
        <v>179.64</v>
      </c>
      <c r="I141" s="63">
        <f t="shared" si="8"/>
        <v>1317.3600000000001</v>
      </c>
      <c r="J141" s="59" t="str">
        <f t="shared" si="9"/>
        <v>יום שישי</v>
      </c>
      <c r="K141" s="64">
        <f t="shared" si="10"/>
        <v>44090</v>
      </c>
      <c r="L141" s="59">
        <f>VLOOKUP(WEEKDAY(A141),'[1]נתונים נוספים'!$C$4:$J$6,VLOOKUP('חתירה למטרה 2'!D141,'[1]נתונים נוספים'!$M$9:$N$15,2,FALSE),TRUE)*'חתירה למטרה 2'!I141</f>
        <v>79.041600000000003</v>
      </c>
    </row>
    <row r="142" spans="1:12" x14ac:dyDescent="0.25">
      <c r="A142" s="60">
        <v>44163</v>
      </c>
      <c r="B142" s="61" t="s">
        <v>162</v>
      </c>
      <c r="C142" s="61" t="s">
        <v>187</v>
      </c>
      <c r="D142" s="61" t="s">
        <v>177</v>
      </c>
      <c r="E142" s="61">
        <v>99</v>
      </c>
      <c r="F142" s="61">
        <v>25</v>
      </c>
      <c r="G142" s="61" t="s">
        <v>189</v>
      </c>
      <c r="H142" s="62">
        <v>198</v>
      </c>
      <c r="I142" s="63">
        <f t="shared" si="8"/>
        <v>2277</v>
      </c>
      <c r="J142" s="59" t="str">
        <f t="shared" si="9"/>
        <v>שבת</v>
      </c>
      <c r="K142" s="64">
        <f t="shared" si="10"/>
        <v>44253</v>
      </c>
      <c r="L142" s="59">
        <f>VLOOKUP(WEEKDAY(A142),'[1]נתונים נוספים'!$C$4:$J$6,VLOOKUP('חתירה למטרה 2'!D142,'[1]נתונים נוספים'!$M$9:$N$15,2,FALSE),TRUE)*'חתירה למטרה 2'!I142</f>
        <v>0</v>
      </c>
    </row>
    <row r="143" spans="1:12" x14ac:dyDescent="0.25">
      <c r="A143" s="60">
        <v>44011</v>
      </c>
      <c r="B143" s="61" t="s">
        <v>82</v>
      </c>
      <c r="C143" s="61" t="s">
        <v>186</v>
      </c>
      <c r="D143" s="61" t="s">
        <v>173</v>
      </c>
      <c r="E143" s="61">
        <v>399</v>
      </c>
      <c r="F143" s="61">
        <v>27</v>
      </c>
      <c r="G143" s="61" t="s">
        <v>181</v>
      </c>
      <c r="H143" s="62">
        <v>2585.52</v>
      </c>
      <c r="I143" s="63">
        <f t="shared" si="8"/>
        <v>8187.48</v>
      </c>
      <c r="J143" s="59" t="str">
        <f t="shared" si="9"/>
        <v>יום שני</v>
      </c>
      <c r="K143" s="64">
        <f t="shared" si="10"/>
        <v>44041</v>
      </c>
      <c r="L143" s="59">
        <f>VLOOKUP(WEEKDAY(A143),'[1]נתונים נוספים'!$C$4:$J$6,VLOOKUP('חתירה למטרה 2'!D143,'[1]נתונים נוספים'!$M$9:$N$15,2,FALSE),TRUE)*'חתירה למטרה 2'!I143</f>
        <v>409.37400000000002</v>
      </c>
    </row>
    <row r="144" spans="1:12" x14ac:dyDescent="0.25">
      <c r="A144" s="60">
        <v>44239</v>
      </c>
      <c r="B144" s="61" t="s">
        <v>82</v>
      </c>
      <c r="C144" s="61" t="s">
        <v>172</v>
      </c>
      <c r="D144" s="61" t="s">
        <v>173</v>
      </c>
      <c r="E144" s="61">
        <v>175</v>
      </c>
      <c r="F144" s="61">
        <v>25</v>
      </c>
      <c r="G144" s="61" t="s">
        <v>181</v>
      </c>
      <c r="H144" s="62">
        <v>437.5</v>
      </c>
      <c r="I144" s="63">
        <f t="shared" si="8"/>
        <v>3937.5</v>
      </c>
      <c r="J144" s="59" t="str">
        <f t="shared" si="9"/>
        <v>יום שישי</v>
      </c>
      <c r="K144" s="64">
        <f t="shared" si="10"/>
        <v>44259</v>
      </c>
      <c r="L144" s="59">
        <f>VLOOKUP(WEEKDAY(A144),'[1]נתונים נוספים'!$C$4:$J$6,VLOOKUP('חתירה למטרה 2'!D144,'[1]נתונים נוספים'!$M$9:$N$15,2,FALSE),TRUE)*'חתירה למטרה 2'!I144</f>
        <v>98.4375</v>
      </c>
    </row>
    <row r="145" spans="1:12" x14ac:dyDescent="0.25">
      <c r="A145" s="60">
        <v>44310</v>
      </c>
      <c r="B145" s="61" t="s">
        <v>175</v>
      </c>
      <c r="C145" s="61" t="s">
        <v>163</v>
      </c>
      <c r="D145" s="61" t="s">
        <v>164</v>
      </c>
      <c r="E145" s="61">
        <v>139</v>
      </c>
      <c r="F145" s="61">
        <v>25</v>
      </c>
      <c r="G145" s="61" t="s">
        <v>193</v>
      </c>
      <c r="H145" s="62">
        <v>764.5</v>
      </c>
      <c r="I145" s="63">
        <f t="shared" si="8"/>
        <v>2710.5</v>
      </c>
      <c r="J145" s="59" t="str">
        <f t="shared" si="9"/>
        <v>שבת</v>
      </c>
      <c r="K145" s="64">
        <f t="shared" si="10"/>
        <v>44340</v>
      </c>
      <c r="L145" s="59">
        <f>VLOOKUP(WEEKDAY(A145),'[1]נתונים נוספים'!$C$4:$J$6,VLOOKUP('חתירה למטרה 2'!D145,'[1]נתונים נוספים'!$M$9:$N$15,2,FALSE),TRUE)*'חתירה למטרה 2'!I145</f>
        <v>149.07750000000001</v>
      </c>
    </row>
    <row r="146" spans="1:12" x14ac:dyDescent="0.25">
      <c r="A146" s="60">
        <v>44249</v>
      </c>
      <c r="B146" s="61" t="s">
        <v>82</v>
      </c>
      <c r="C146" s="61" t="s">
        <v>208</v>
      </c>
      <c r="D146" s="61" t="s">
        <v>209</v>
      </c>
      <c r="E146" s="61">
        <v>199</v>
      </c>
      <c r="F146" s="61">
        <v>7</v>
      </c>
      <c r="G146" s="61" t="s">
        <v>170</v>
      </c>
      <c r="H146" s="62">
        <v>153.22999999999999</v>
      </c>
      <c r="I146" s="63">
        <f t="shared" si="8"/>
        <v>1239.77</v>
      </c>
      <c r="J146" s="59" t="str">
        <f t="shared" si="9"/>
        <v>יום שני</v>
      </c>
      <c r="K146" s="64">
        <f t="shared" si="10"/>
        <v>44269</v>
      </c>
      <c r="L146" s="59">
        <f>VLOOKUP(WEEKDAY(A146),'[1]נתונים נוספים'!$C$4:$J$6,VLOOKUP('חתירה למטרה 2'!D146,'[1]נתונים נוספים'!$M$9:$N$15,2,FALSE),TRUE)*'חתירה למטרה 2'!I146</f>
        <v>0</v>
      </c>
    </row>
    <row r="147" spans="1:12" x14ac:dyDescent="0.25">
      <c r="A147" s="60">
        <v>44162</v>
      </c>
      <c r="B147" s="61" t="s">
        <v>162</v>
      </c>
      <c r="C147" s="61" t="s">
        <v>159</v>
      </c>
      <c r="D147" s="61" t="s">
        <v>160</v>
      </c>
      <c r="E147" s="61">
        <v>299</v>
      </c>
      <c r="F147" s="61">
        <v>17</v>
      </c>
      <c r="G147" s="61" t="s">
        <v>189</v>
      </c>
      <c r="H147" s="62">
        <v>304.97999999999996</v>
      </c>
      <c r="I147" s="63">
        <f t="shared" si="8"/>
        <v>4778.0200000000004</v>
      </c>
      <c r="J147" s="59" t="str">
        <f t="shared" si="9"/>
        <v>יום שישי</v>
      </c>
      <c r="K147" s="64">
        <f t="shared" si="10"/>
        <v>44252</v>
      </c>
      <c r="L147" s="59">
        <f>VLOOKUP(WEEKDAY(A147),'[1]נתונים נוספים'!$C$4:$J$6,VLOOKUP('חתירה למטרה 2'!D147,'[1]נתונים נוספים'!$M$9:$N$15,2,FALSE),TRUE)*'חתירה למטרה 2'!I147</f>
        <v>0</v>
      </c>
    </row>
    <row r="148" spans="1:12" x14ac:dyDescent="0.25">
      <c r="A148" s="60">
        <v>44245</v>
      </c>
      <c r="B148" s="61" t="s">
        <v>162</v>
      </c>
      <c r="C148" s="61" t="s">
        <v>167</v>
      </c>
      <c r="D148" s="61" t="s">
        <v>160</v>
      </c>
      <c r="E148" s="61">
        <v>149</v>
      </c>
      <c r="F148" s="61">
        <v>6</v>
      </c>
      <c r="G148" s="61" t="s">
        <v>168</v>
      </c>
      <c r="H148" s="62">
        <v>205.62</v>
      </c>
      <c r="I148" s="63">
        <f t="shared" si="8"/>
        <v>688.38</v>
      </c>
      <c r="J148" s="59" t="str">
        <f t="shared" si="9"/>
        <v>יום חמישי</v>
      </c>
      <c r="K148" s="64">
        <f t="shared" si="10"/>
        <v>44335</v>
      </c>
      <c r="L148" s="59">
        <f>VLOOKUP(WEEKDAY(A148),'[1]נתונים נוספים'!$C$4:$J$6,VLOOKUP('חתירה למטרה 2'!D148,'[1]נתונים נוספים'!$M$9:$N$15,2,FALSE),TRUE)*'חתירה למטרה 2'!I148</f>
        <v>75.721800000000002</v>
      </c>
    </row>
    <row r="149" spans="1:12" x14ac:dyDescent="0.25">
      <c r="A149" s="60">
        <v>44294</v>
      </c>
      <c r="B149" s="61" t="s">
        <v>184</v>
      </c>
      <c r="C149" s="61" t="s">
        <v>182</v>
      </c>
      <c r="D149" s="61" t="s">
        <v>177</v>
      </c>
      <c r="E149" s="61">
        <v>59</v>
      </c>
      <c r="F149" s="61">
        <v>21</v>
      </c>
      <c r="G149" s="61" t="s">
        <v>214</v>
      </c>
      <c r="H149" s="62">
        <v>111.50999999999999</v>
      </c>
      <c r="I149" s="63">
        <f t="shared" si="8"/>
        <v>1127.49</v>
      </c>
      <c r="J149" s="59" t="str">
        <f t="shared" si="9"/>
        <v>יום חמישי</v>
      </c>
      <c r="K149" s="64">
        <f t="shared" si="10"/>
        <v>44324</v>
      </c>
      <c r="L149" s="59">
        <f>VLOOKUP(WEEKDAY(A149),'[1]נתונים נוספים'!$C$4:$J$6,VLOOKUP('חתירה למטרה 2'!D149,'[1]נתונים נוספים'!$M$9:$N$15,2,FALSE),TRUE)*'חתירה למטרה 2'!I149</f>
        <v>45.099600000000002</v>
      </c>
    </row>
    <row r="150" spans="1:12" x14ac:dyDescent="0.25">
      <c r="A150" s="60">
        <v>44281</v>
      </c>
      <c r="B150" s="61" t="s">
        <v>60</v>
      </c>
      <c r="C150" s="61" t="s">
        <v>169</v>
      </c>
      <c r="D150" s="61" t="s">
        <v>160</v>
      </c>
      <c r="E150" s="61">
        <v>229</v>
      </c>
      <c r="F150" s="61">
        <v>26</v>
      </c>
      <c r="G150" s="61" t="s">
        <v>211</v>
      </c>
      <c r="H150" s="62">
        <v>1131.26</v>
      </c>
      <c r="I150" s="63">
        <f t="shared" si="8"/>
        <v>4822.74</v>
      </c>
      <c r="J150" s="59" t="str">
        <f t="shared" si="9"/>
        <v>יום שישי</v>
      </c>
      <c r="K150" s="64">
        <f t="shared" si="10"/>
        <v>44301</v>
      </c>
      <c r="L150" s="59">
        <f>VLOOKUP(WEEKDAY(A150),'[1]נתונים נוספים'!$C$4:$J$6,VLOOKUP('חתירה למטרה 2'!D150,'[1]נתונים נוספים'!$M$9:$N$15,2,FALSE),TRUE)*'חתירה למטרה 2'!I150</f>
        <v>0</v>
      </c>
    </row>
    <row r="151" spans="1:12" x14ac:dyDescent="0.25">
      <c r="A151" s="60">
        <v>44007</v>
      </c>
      <c r="B151" s="61" t="s">
        <v>175</v>
      </c>
      <c r="C151" s="61" t="s">
        <v>202</v>
      </c>
      <c r="D151" s="61" t="s">
        <v>177</v>
      </c>
      <c r="E151" s="61">
        <v>599</v>
      </c>
      <c r="F151" s="61">
        <v>20</v>
      </c>
      <c r="G151" s="61" t="s">
        <v>196</v>
      </c>
      <c r="H151" s="62">
        <v>3114.8</v>
      </c>
      <c r="I151" s="63">
        <f t="shared" si="8"/>
        <v>8865.2000000000007</v>
      </c>
      <c r="J151" s="59" t="str">
        <f t="shared" si="9"/>
        <v>יום חמישי</v>
      </c>
      <c r="K151" s="64">
        <f t="shared" si="10"/>
        <v>44037</v>
      </c>
      <c r="L151" s="59">
        <f>VLOOKUP(WEEKDAY(A151),'[1]נתונים נוספים'!$C$4:$J$6,VLOOKUP('חתירה למטרה 2'!D151,'[1]נתונים נוספים'!$M$9:$N$15,2,FALSE),TRUE)*'חתירה למטרה 2'!I151</f>
        <v>354.60800000000006</v>
      </c>
    </row>
    <row r="152" spans="1:12" x14ac:dyDescent="0.25">
      <c r="A152" s="60">
        <v>44284</v>
      </c>
      <c r="B152" s="61" t="s">
        <v>162</v>
      </c>
      <c r="C152" s="61" t="s">
        <v>194</v>
      </c>
      <c r="D152" s="61" t="s">
        <v>164</v>
      </c>
      <c r="E152" s="61">
        <v>75</v>
      </c>
      <c r="F152" s="61">
        <v>11</v>
      </c>
      <c r="G152" s="61" t="s">
        <v>183</v>
      </c>
      <c r="H152" s="62">
        <v>41.25</v>
      </c>
      <c r="I152" s="63">
        <f t="shared" si="8"/>
        <v>783.75</v>
      </c>
      <c r="J152" s="59" t="str">
        <f t="shared" si="9"/>
        <v>יום שני</v>
      </c>
      <c r="K152" s="64">
        <f t="shared" si="10"/>
        <v>44374</v>
      </c>
      <c r="L152" s="59">
        <f>VLOOKUP(WEEKDAY(A152),'[1]נתונים נוספים'!$C$4:$J$6,VLOOKUP('חתירה למטרה 2'!D152,'[1]נתונים נוספים'!$M$9:$N$15,2,FALSE),TRUE)*'חתירה למטרה 2'!I152</f>
        <v>0</v>
      </c>
    </row>
    <row r="153" spans="1:12" x14ac:dyDescent="0.25">
      <c r="A153" s="60">
        <v>44339</v>
      </c>
      <c r="B153" s="61" t="s">
        <v>162</v>
      </c>
      <c r="C153" s="61" t="s">
        <v>186</v>
      </c>
      <c r="D153" s="61" t="s">
        <v>173</v>
      </c>
      <c r="E153" s="61">
        <v>399</v>
      </c>
      <c r="F153" s="61">
        <v>17</v>
      </c>
      <c r="G153" s="61" t="s">
        <v>183</v>
      </c>
      <c r="H153" s="62">
        <v>1153.1100000000001</v>
      </c>
      <c r="I153" s="63">
        <f t="shared" si="8"/>
        <v>5629.8899999999994</v>
      </c>
      <c r="J153" s="59" t="str">
        <f t="shared" si="9"/>
        <v>יום ראשון</v>
      </c>
      <c r="K153" s="64">
        <f t="shared" si="10"/>
        <v>44429</v>
      </c>
      <c r="L153" s="59">
        <f>VLOOKUP(WEEKDAY(A153),'[1]נתונים נוספים'!$C$4:$J$6,VLOOKUP('חתירה למטרה 2'!D153,'[1]נתונים נוספים'!$M$9:$N$15,2,FALSE),TRUE)*'חתירה למטרה 2'!I153</f>
        <v>281.49449999999996</v>
      </c>
    </row>
    <row r="154" spans="1:12" x14ac:dyDescent="0.25">
      <c r="A154" s="60">
        <v>44016</v>
      </c>
      <c r="B154" s="61" t="s">
        <v>82</v>
      </c>
      <c r="C154" s="61" t="s">
        <v>172</v>
      </c>
      <c r="D154" s="61" t="s">
        <v>173</v>
      </c>
      <c r="E154" s="61">
        <v>175</v>
      </c>
      <c r="F154" s="61">
        <v>9</v>
      </c>
      <c r="G154" s="61" t="s">
        <v>181</v>
      </c>
      <c r="H154" s="62">
        <v>110.25000000000001</v>
      </c>
      <c r="I154" s="63">
        <f t="shared" si="8"/>
        <v>1464.75</v>
      </c>
      <c r="J154" s="59" t="str">
        <f t="shared" si="9"/>
        <v>שבת</v>
      </c>
      <c r="K154" s="64">
        <f t="shared" si="10"/>
        <v>44056</v>
      </c>
      <c r="L154" s="59">
        <f>VLOOKUP(WEEKDAY(A154),'[1]נתונים נוספים'!$C$4:$J$6,VLOOKUP('חתירה למטרה 2'!D154,'[1]נתונים נוספים'!$M$9:$N$15,2,FALSE),TRUE)*'חתירה למטרה 2'!I154</f>
        <v>36.618749999999999</v>
      </c>
    </row>
    <row r="155" spans="1:12" x14ac:dyDescent="0.25">
      <c r="A155" s="60">
        <v>44074</v>
      </c>
      <c r="B155" s="61" t="s">
        <v>162</v>
      </c>
      <c r="C155" s="61" t="s">
        <v>172</v>
      </c>
      <c r="D155" s="61" t="s">
        <v>173</v>
      </c>
      <c r="E155" s="61">
        <v>175</v>
      </c>
      <c r="F155" s="61">
        <v>32</v>
      </c>
      <c r="G155" s="61" t="s">
        <v>183</v>
      </c>
      <c r="H155" s="62">
        <v>1064</v>
      </c>
      <c r="I155" s="63">
        <f t="shared" si="8"/>
        <v>4536</v>
      </c>
      <c r="J155" s="59" t="str">
        <f t="shared" si="9"/>
        <v>יום שני</v>
      </c>
      <c r="K155" s="64">
        <f t="shared" si="10"/>
        <v>44164</v>
      </c>
      <c r="L155" s="59">
        <f>VLOOKUP(WEEKDAY(A155),'[1]נתונים נוספים'!$C$4:$J$6,VLOOKUP('חתירה למטרה 2'!D155,'[1]נתונים נוספים'!$M$9:$N$15,2,FALSE),TRUE)*'חתירה למטרה 2'!I155</f>
        <v>226.8</v>
      </c>
    </row>
    <row r="156" spans="1:12" x14ac:dyDescent="0.25">
      <c r="A156" s="60">
        <v>44326</v>
      </c>
      <c r="B156" s="61" t="s">
        <v>82</v>
      </c>
      <c r="C156" s="61" t="s">
        <v>202</v>
      </c>
      <c r="D156" s="61" t="s">
        <v>177</v>
      </c>
      <c r="E156" s="61">
        <v>599</v>
      </c>
      <c r="F156" s="61">
        <v>18</v>
      </c>
      <c r="G156" s="61" t="s">
        <v>199</v>
      </c>
      <c r="H156" s="62">
        <v>2479.86</v>
      </c>
      <c r="I156" s="63">
        <f t="shared" si="8"/>
        <v>8302.14</v>
      </c>
      <c r="J156" s="59" t="str">
        <f t="shared" si="9"/>
        <v>יום שני</v>
      </c>
      <c r="K156" s="64">
        <f t="shared" si="10"/>
        <v>44356</v>
      </c>
      <c r="L156" s="59">
        <f>VLOOKUP(WEEKDAY(A156),'[1]נתונים נוספים'!$C$4:$J$6,VLOOKUP('חתירה למטרה 2'!D156,'[1]נתונים נוספים'!$M$9:$N$15,2,FALSE),TRUE)*'חתירה למטרה 2'!I156</f>
        <v>166.0428</v>
      </c>
    </row>
    <row r="157" spans="1:12" x14ac:dyDescent="0.25">
      <c r="A157" s="60">
        <v>44092</v>
      </c>
      <c r="B157" s="61" t="s">
        <v>101</v>
      </c>
      <c r="C157" s="61" t="s">
        <v>171</v>
      </c>
      <c r="D157" s="61" t="s">
        <v>164</v>
      </c>
      <c r="E157" s="61">
        <v>119</v>
      </c>
      <c r="F157" s="61">
        <v>5</v>
      </c>
      <c r="G157" s="61" t="s">
        <v>174</v>
      </c>
      <c r="H157" s="62">
        <v>95.2</v>
      </c>
      <c r="I157" s="63">
        <f t="shared" si="8"/>
        <v>499.8</v>
      </c>
      <c r="J157" s="59" t="str">
        <f t="shared" si="9"/>
        <v>יום שישי</v>
      </c>
      <c r="K157" s="64">
        <f t="shared" si="10"/>
        <v>44132</v>
      </c>
      <c r="L157" s="59">
        <f>VLOOKUP(WEEKDAY(A157),'[1]נתונים נוספים'!$C$4:$J$6,VLOOKUP('חתירה למטרה 2'!D157,'[1]נתונים נוספים'!$M$9:$N$15,2,FALSE),TRUE)*'חתירה למטרה 2'!I157</f>
        <v>27.489000000000001</v>
      </c>
    </row>
    <row r="158" spans="1:12" x14ac:dyDescent="0.25">
      <c r="A158" s="60">
        <v>44259</v>
      </c>
      <c r="B158" s="61" t="s">
        <v>162</v>
      </c>
      <c r="C158" s="61" t="s">
        <v>210</v>
      </c>
      <c r="D158" s="61" t="s">
        <v>209</v>
      </c>
      <c r="E158" s="61">
        <v>99</v>
      </c>
      <c r="F158" s="61">
        <v>13</v>
      </c>
      <c r="G158" s="61" t="s">
        <v>189</v>
      </c>
      <c r="H158" s="62">
        <v>128.70000000000002</v>
      </c>
      <c r="I158" s="63">
        <f t="shared" si="8"/>
        <v>1158.3</v>
      </c>
      <c r="J158" s="59" t="str">
        <f t="shared" si="9"/>
        <v>יום חמישי</v>
      </c>
      <c r="K158" s="64">
        <f t="shared" si="10"/>
        <v>44349</v>
      </c>
      <c r="L158" s="59">
        <f>VLOOKUP(WEEKDAY(A158),'[1]נתונים נוספים'!$C$4:$J$6,VLOOKUP('חתירה למטרה 2'!D158,'[1]נתונים נוספים'!$M$9:$N$15,2,FALSE),TRUE)*'חתירה למטרה 2'!I158</f>
        <v>28.9575</v>
      </c>
    </row>
    <row r="159" spans="1:12" x14ac:dyDescent="0.25">
      <c r="A159" s="60">
        <v>44023</v>
      </c>
      <c r="B159" s="61" t="s">
        <v>101</v>
      </c>
      <c r="C159" s="61" t="s">
        <v>200</v>
      </c>
      <c r="D159" s="61" t="s">
        <v>177</v>
      </c>
      <c r="E159" s="61">
        <v>350</v>
      </c>
      <c r="F159" s="61">
        <v>32</v>
      </c>
      <c r="G159" s="61" t="s">
        <v>174</v>
      </c>
      <c r="H159" s="62">
        <v>1456</v>
      </c>
      <c r="I159" s="63">
        <f t="shared" si="8"/>
        <v>9744</v>
      </c>
      <c r="J159" s="59" t="str">
        <f t="shared" si="9"/>
        <v>שבת</v>
      </c>
      <c r="K159" s="64">
        <f t="shared" si="10"/>
        <v>44063</v>
      </c>
      <c r="L159" s="59">
        <f>VLOOKUP(WEEKDAY(A159),'[1]נתונים נוספים'!$C$4:$J$6,VLOOKUP('חתירה למטרה 2'!D159,'[1]נתונים נוספים'!$M$9:$N$15,2,FALSE),TRUE)*'חתירה למטרה 2'!I159</f>
        <v>0</v>
      </c>
    </row>
    <row r="160" spans="1:12" x14ac:dyDescent="0.25">
      <c r="A160" s="60">
        <v>44060</v>
      </c>
      <c r="B160" s="61" t="s">
        <v>162</v>
      </c>
      <c r="C160" s="61" t="s">
        <v>185</v>
      </c>
      <c r="D160" s="61" t="s">
        <v>177</v>
      </c>
      <c r="E160" s="61">
        <v>95</v>
      </c>
      <c r="F160" s="61">
        <v>33</v>
      </c>
      <c r="G160" s="61" t="s">
        <v>168</v>
      </c>
      <c r="H160" s="62">
        <v>376.2</v>
      </c>
      <c r="I160" s="63">
        <f t="shared" si="8"/>
        <v>2758.8</v>
      </c>
      <c r="J160" s="59" t="str">
        <f t="shared" si="9"/>
        <v>יום שני</v>
      </c>
      <c r="K160" s="64">
        <f t="shared" si="10"/>
        <v>44150</v>
      </c>
      <c r="L160" s="59">
        <f>VLOOKUP(WEEKDAY(A160),'[1]נתונים נוספים'!$C$4:$J$6,VLOOKUP('חתירה למטרה 2'!D160,'[1]נתונים נוספים'!$M$9:$N$15,2,FALSE),TRUE)*'חתירה למטרה 2'!I160</f>
        <v>55.176000000000002</v>
      </c>
    </row>
    <row r="161" spans="1:12" x14ac:dyDescent="0.25">
      <c r="A161" s="60">
        <v>44169</v>
      </c>
      <c r="B161" s="61" t="s">
        <v>162</v>
      </c>
      <c r="C161" s="61" t="s">
        <v>190</v>
      </c>
      <c r="D161" s="61" t="s">
        <v>191</v>
      </c>
      <c r="E161" s="61">
        <v>280</v>
      </c>
      <c r="F161" s="61">
        <v>13</v>
      </c>
      <c r="G161" s="61" t="s">
        <v>183</v>
      </c>
      <c r="H161" s="62">
        <v>618.80000000000007</v>
      </c>
      <c r="I161" s="63">
        <f t="shared" si="8"/>
        <v>3021.2</v>
      </c>
      <c r="J161" s="59" t="str">
        <f t="shared" si="9"/>
        <v>יום שישי</v>
      </c>
      <c r="K161" s="64">
        <f t="shared" si="10"/>
        <v>44259</v>
      </c>
      <c r="L161" s="59">
        <f>VLOOKUP(WEEKDAY(A161),'[1]נתונים נוספים'!$C$4:$J$6,VLOOKUP('חתירה למטרה 2'!D161,'[1]נתונים נוספים'!$M$9:$N$15,2,FALSE),TRUE)*'חתירה למטרה 2'!I161</f>
        <v>105.742</v>
      </c>
    </row>
    <row r="162" spans="1:12" x14ac:dyDescent="0.25">
      <c r="A162" s="60">
        <v>44095</v>
      </c>
      <c r="B162" s="61" t="s">
        <v>162</v>
      </c>
      <c r="C162" s="61" t="s">
        <v>159</v>
      </c>
      <c r="D162" s="61" t="s">
        <v>160</v>
      </c>
      <c r="E162" s="61">
        <v>299</v>
      </c>
      <c r="F162" s="61">
        <v>1</v>
      </c>
      <c r="G162" s="61" t="s">
        <v>189</v>
      </c>
      <c r="H162" s="62">
        <v>26.91</v>
      </c>
      <c r="I162" s="63">
        <f t="shared" si="8"/>
        <v>272.08999999999997</v>
      </c>
      <c r="J162" s="59" t="str">
        <f t="shared" si="9"/>
        <v>יום שני</v>
      </c>
      <c r="K162" s="64">
        <f t="shared" si="10"/>
        <v>44185</v>
      </c>
      <c r="L162" s="59">
        <f>VLOOKUP(WEEKDAY(A162),'[1]נתונים נוספים'!$C$4:$J$6,VLOOKUP('חתירה למטרה 2'!D162,'[1]נתונים נוספים'!$M$9:$N$15,2,FALSE),TRUE)*'חתירה למטרה 2'!I162</f>
        <v>8.1626999999999992</v>
      </c>
    </row>
    <row r="163" spans="1:12" x14ac:dyDescent="0.25">
      <c r="A163" s="60">
        <v>44029</v>
      </c>
      <c r="B163" s="61" t="s">
        <v>162</v>
      </c>
      <c r="C163" s="61" t="s">
        <v>179</v>
      </c>
      <c r="D163" s="61" t="s">
        <v>180</v>
      </c>
      <c r="E163" s="61">
        <v>499</v>
      </c>
      <c r="F163" s="61">
        <v>13</v>
      </c>
      <c r="G163" s="61" t="s">
        <v>183</v>
      </c>
      <c r="H163" s="62">
        <v>454.09000000000003</v>
      </c>
      <c r="I163" s="63">
        <f t="shared" si="8"/>
        <v>6032.91</v>
      </c>
      <c r="J163" s="59" t="str">
        <f t="shared" si="9"/>
        <v>יום שישי</v>
      </c>
      <c r="K163" s="64">
        <f t="shared" si="10"/>
        <v>44119</v>
      </c>
      <c r="L163" s="59">
        <f>VLOOKUP(WEEKDAY(A163),'[1]נתונים נוספים'!$C$4:$J$6,VLOOKUP('חתירה למטרה 2'!D163,'[1]נתונים נוספים'!$M$9:$N$15,2,FALSE),TRUE)*'חתירה למטרה 2'!I163</f>
        <v>361.97459999999995</v>
      </c>
    </row>
    <row r="164" spans="1:12" x14ac:dyDescent="0.25">
      <c r="A164" s="60">
        <v>44106</v>
      </c>
      <c r="B164" s="61" t="s">
        <v>162</v>
      </c>
      <c r="C164" s="61" t="s">
        <v>202</v>
      </c>
      <c r="D164" s="61" t="s">
        <v>177</v>
      </c>
      <c r="E164" s="61">
        <v>599</v>
      </c>
      <c r="F164" s="61">
        <v>32</v>
      </c>
      <c r="G164" s="61" t="s">
        <v>168</v>
      </c>
      <c r="H164" s="62">
        <v>4983.68</v>
      </c>
      <c r="I164" s="63">
        <f t="shared" si="8"/>
        <v>14184.32</v>
      </c>
      <c r="J164" s="59" t="str">
        <f t="shared" si="9"/>
        <v>יום שישי</v>
      </c>
      <c r="K164" s="64">
        <f t="shared" si="10"/>
        <v>44196</v>
      </c>
      <c r="L164" s="59">
        <f>VLOOKUP(WEEKDAY(A164),'[1]נתונים נוספים'!$C$4:$J$6,VLOOKUP('חתירה למטרה 2'!D164,'[1]נתונים נוספים'!$M$9:$N$15,2,FALSE),TRUE)*'חתירה למטרה 2'!I164</f>
        <v>0</v>
      </c>
    </row>
    <row r="165" spans="1:12" x14ac:dyDescent="0.25">
      <c r="A165" s="60">
        <v>44266</v>
      </c>
      <c r="B165" s="61" t="s">
        <v>175</v>
      </c>
      <c r="C165" s="61" t="s">
        <v>167</v>
      </c>
      <c r="D165" s="61" t="s">
        <v>160</v>
      </c>
      <c r="E165" s="61">
        <v>149</v>
      </c>
      <c r="F165" s="61">
        <v>29</v>
      </c>
      <c r="G165" s="61" t="s">
        <v>192</v>
      </c>
      <c r="H165" s="62">
        <v>561.73</v>
      </c>
      <c r="I165" s="63">
        <f t="shared" si="8"/>
        <v>3759.27</v>
      </c>
      <c r="J165" s="59" t="str">
        <f t="shared" si="9"/>
        <v>יום חמישי</v>
      </c>
      <c r="K165" s="64">
        <f t="shared" si="10"/>
        <v>44286</v>
      </c>
      <c r="L165" s="59">
        <f>VLOOKUP(WEEKDAY(A165),'[1]נתונים נוספים'!$C$4:$J$6,VLOOKUP('חתירה למטרה 2'!D165,'[1]נתונים נוספים'!$M$9:$N$15,2,FALSE),TRUE)*'חתירה למטרה 2'!I165</f>
        <v>413.5197</v>
      </c>
    </row>
    <row r="166" spans="1:12" x14ac:dyDescent="0.25">
      <c r="A166" s="60">
        <v>44360</v>
      </c>
      <c r="B166" s="61" t="s">
        <v>82</v>
      </c>
      <c r="C166" s="61" t="s">
        <v>169</v>
      </c>
      <c r="D166" s="61" t="s">
        <v>160</v>
      </c>
      <c r="E166" s="61">
        <v>229</v>
      </c>
      <c r="F166" s="61">
        <v>18</v>
      </c>
      <c r="G166" s="61" t="s">
        <v>199</v>
      </c>
      <c r="H166" s="62">
        <v>659.52</v>
      </c>
      <c r="I166" s="63">
        <f t="shared" si="8"/>
        <v>3462.48</v>
      </c>
      <c r="J166" s="59" t="str">
        <f t="shared" si="9"/>
        <v>יום ראשון</v>
      </c>
      <c r="K166" s="64">
        <f t="shared" si="10"/>
        <v>44390</v>
      </c>
      <c r="L166" s="59">
        <f>VLOOKUP(WEEKDAY(A166),'[1]נתונים נוספים'!$C$4:$J$6,VLOOKUP('חתירה למטרה 2'!D166,'[1]נתונים נוספים'!$M$9:$N$15,2,FALSE),TRUE)*'חתירה למטרה 2'!I166</f>
        <v>103.87439999999999</v>
      </c>
    </row>
    <row r="167" spans="1:12" x14ac:dyDescent="0.25">
      <c r="A167" s="60">
        <v>44291</v>
      </c>
      <c r="B167" s="61" t="s">
        <v>82</v>
      </c>
      <c r="C167" s="61" t="s">
        <v>200</v>
      </c>
      <c r="D167" s="61" t="s">
        <v>177</v>
      </c>
      <c r="E167" s="61">
        <v>350</v>
      </c>
      <c r="F167" s="61">
        <v>1</v>
      </c>
      <c r="G167" s="61" t="s">
        <v>170</v>
      </c>
      <c r="H167" s="62">
        <v>38.5</v>
      </c>
      <c r="I167" s="63">
        <f t="shared" si="8"/>
        <v>311.5</v>
      </c>
      <c r="J167" s="59" t="str">
        <f t="shared" si="9"/>
        <v>יום שני</v>
      </c>
      <c r="K167" s="64">
        <f t="shared" si="10"/>
        <v>44321</v>
      </c>
      <c r="L167" s="59">
        <f>VLOOKUP(WEEKDAY(A167),'[1]נתונים נוספים'!$C$4:$J$6,VLOOKUP('חתירה למטרה 2'!D167,'[1]נתונים נוספים'!$M$9:$N$15,2,FALSE),TRUE)*'חתירה למטרה 2'!I167</f>
        <v>6.23</v>
      </c>
    </row>
    <row r="168" spans="1:12" x14ac:dyDescent="0.25">
      <c r="A168" s="60">
        <v>44330</v>
      </c>
      <c r="B168" s="61" t="s">
        <v>82</v>
      </c>
      <c r="C168" s="61" t="s">
        <v>186</v>
      </c>
      <c r="D168" s="61" t="s">
        <v>173</v>
      </c>
      <c r="E168" s="61">
        <v>399</v>
      </c>
      <c r="F168" s="61">
        <v>23</v>
      </c>
      <c r="G168" s="61" t="s">
        <v>199</v>
      </c>
      <c r="H168" s="62">
        <v>2202.48</v>
      </c>
      <c r="I168" s="63">
        <f t="shared" si="8"/>
        <v>6974.52</v>
      </c>
      <c r="J168" s="59" t="str">
        <f t="shared" si="9"/>
        <v>יום שישי</v>
      </c>
      <c r="K168" s="64">
        <f t="shared" si="10"/>
        <v>44360</v>
      </c>
      <c r="L168" s="59">
        <f>VLOOKUP(WEEKDAY(A168),'[1]נתונים נוספים'!$C$4:$J$6,VLOOKUP('חתירה למטרה 2'!D168,'[1]נתונים נוספים'!$M$9:$N$15,2,FALSE),TRUE)*'חתירה למטרה 2'!I168</f>
        <v>174.36300000000003</v>
      </c>
    </row>
    <row r="169" spans="1:12" x14ac:dyDescent="0.25">
      <c r="A169" s="60">
        <v>44190</v>
      </c>
      <c r="B169" s="61" t="s">
        <v>101</v>
      </c>
      <c r="C169" s="61" t="s">
        <v>204</v>
      </c>
      <c r="D169" s="61" t="s">
        <v>177</v>
      </c>
      <c r="E169" s="61">
        <v>555</v>
      </c>
      <c r="F169" s="61">
        <v>20</v>
      </c>
      <c r="G169" s="61" t="s">
        <v>188</v>
      </c>
      <c r="H169" s="62">
        <v>1665</v>
      </c>
      <c r="I169" s="63">
        <f t="shared" si="8"/>
        <v>9435</v>
      </c>
      <c r="J169" s="59" t="str">
        <f t="shared" si="9"/>
        <v>יום שישי</v>
      </c>
      <c r="K169" s="64">
        <f t="shared" si="10"/>
        <v>44240</v>
      </c>
      <c r="L169" s="59">
        <f>VLOOKUP(WEEKDAY(A169),'[1]נתונים נוספים'!$C$4:$J$6,VLOOKUP('חתירה למטרה 2'!D169,'[1]נתונים נוספים'!$M$9:$N$15,2,FALSE),TRUE)*'חתירה למטרה 2'!I169</f>
        <v>0</v>
      </c>
    </row>
    <row r="170" spans="1:12" x14ac:dyDescent="0.25">
      <c r="A170" s="60">
        <v>44144</v>
      </c>
      <c r="B170" s="61" t="s">
        <v>101</v>
      </c>
      <c r="C170" s="61" t="s">
        <v>190</v>
      </c>
      <c r="D170" s="61" t="s">
        <v>191</v>
      </c>
      <c r="E170" s="61">
        <v>280</v>
      </c>
      <c r="F170" s="61">
        <v>17</v>
      </c>
      <c r="G170" s="61" t="s">
        <v>188</v>
      </c>
      <c r="H170" s="62">
        <v>714</v>
      </c>
      <c r="I170" s="63">
        <f t="shared" si="8"/>
        <v>4046</v>
      </c>
      <c r="J170" s="59" t="str">
        <f t="shared" si="9"/>
        <v>יום שני</v>
      </c>
      <c r="K170" s="64">
        <f t="shared" si="10"/>
        <v>44184</v>
      </c>
      <c r="L170" s="59">
        <f>VLOOKUP(WEEKDAY(A170),'[1]נתונים נוספים'!$C$4:$J$6,VLOOKUP('חתירה למטרה 2'!D170,'[1]נתונים נוספים'!$M$9:$N$15,2,FALSE),TRUE)*'חתירה למטרה 2'!I170</f>
        <v>40.46</v>
      </c>
    </row>
    <row r="171" spans="1:12" x14ac:dyDescent="0.25">
      <c r="A171" s="60">
        <v>44024</v>
      </c>
      <c r="B171" s="61" t="s">
        <v>184</v>
      </c>
      <c r="C171" s="61" t="s">
        <v>187</v>
      </c>
      <c r="D171" s="61" t="s">
        <v>177</v>
      </c>
      <c r="E171" s="61">
        <v>99</v>
      </c>
      <c r="F171" s="61">
        <v>17</v>
      </c>
      <c r="G171" s="61" t="s">
        <v>215</v>
      </c>
      <c r="H171" s="62">
        <v>117.81000000000002</v>
      </c>
      <c r="I171" s="63">
        <f t="shared" si="8"/>
        <v>1565.19</v>
      </c>
      <c r="J171" s="59" t="str">
        <f t="shared" si="9"/>
        <v>יום ראשון</v>
      </c>
      <c r="K171" s="64">
        <f t="shared" si="10"/>
        <v>44064</v>
      </c>
      <c r="L171" s="59">
        <f>VLOOKUP(WEEKDAY(A171),'[1]נתונים נוספים'!$C$4:$J$6,VLOOKUP('חתירה למטרה 2'!D171,'[1]נתונים נוספים'!$M$9:$N$15,2,FALSE),TRUE)*'חתירה למטרה 2'!I171</f>
        <v>31.303800000000003</v>
      </c>
    </row>
    <row r="172" spans="1:12" x14ac:dyDescent="0.25">
      <c r="A172" s="60">
        <v>44109</v>
      </c>
      <c r="B172" s="61" t="s">
        <v>175</v>
      </c>
      <c r="C172" s="61" t="s">
        <v>202</v>
      </c>
      <c r="D172" s="61" t="s">
        <v>177</v>
      </c>
      <c r="E172" s="61">
        <v>599</v>
      </c>
      <c r="F172" s="61">
        <v>1</v>
      </c>
      <c r="G172" s="61" t="s">
        <v>193</v>
      </c>
      <c r="H172" s="62">
        <v>101.83000000000001</v>
      </c>
      <c r="I172" s="63">
        <f t="shared" si="8"/>
        <v>497.16999999999996</v>
      </c>
      <c r="J172" s="59" t="str">
        <f t="shared" si="9"/>
        <v>יום שני</v>
      </c>
      <c r="K172" s="64">
        <f t="shared" si="10"/>
        <v>44149</v>
      </c>
      <c r="L172" s="59">
        <f>VLOOKUP(WEEKDAY(A172),'[1]נתונים נוספים'!$C$4:$J$6,VLOOKUP('חתירה למטרה 2'!D172,'[1]נתונים נוספים'!$M$9:$N$15,2,FALSE),TRUE)*'חתירה למטרה 2'!I172</f>
        <v>9.9433999999999987</v>
      </c>
    </row>
    <row r="173" spans="1:12" x14ac:dyDescent="0.25">
      <c r="A173" s="60">
        <v>44200</v>
      </c>
      <c r="B173" s="61" t="s">
        <v>101</v>
      </c>
      <c r="C173" s="61" t="s">
        <v>204</v>
      </c>
      <c r="D173" s="61" t="s">
        <v>177</v>
      </c>
      <c r="E173" s="61">
        <v>555</v>
      </c>
      <c r="F173" s="61">
        <v>24</v>
      </c>
      <c r="G173" s="61" t="s">
        <v>174</v>
      </c>
      <c r="H173" s="62">
        <v>1731.6000000000001</v>
      </c>
      <c r="I173" s="63">
        <f t="shared" si="8"/>
        <v>11588.4</v>
      </c>
      <c r="J173" s="59" t="str">
        <f t="shared" si="9"/>
        <v>יום שני</v>
      </c>
      <c r="K173" s="64">
        <f t="shared" si="10"/>
        <v>44220</v>
      </c>
      <c r="L173" s="59">
        <f>VLOOKUP(WEEKDAY(A173),'[1]נתונים נוספים'!$C$4:$J$6,VLOOKUP('חתירה למטרה 2'!D173,'[1]נתונים נוספים'!$M$9:$N$15,2,FALSE),TRUE)*'חתירה למטרה 2'!I173</f>
        <v>231.768</v>
      </c>
    </row>
    <row r="174" spans="1:12" x14ac:dyDescent="0.25">
      <c r="A174" s="60">
        <v>44336</v>
      </c>
      <c r="B174" s="61" t="s">
        <v>82</v>
      </c>
      <c r="C174" s="61" t="s">
        <v>194</v>
      </c>
      <c r="D174" s="61" t="s">
        <v>164</v>
      </c>
      <c r="E174" s="61">
        <v>75</v>
      </c>
      <c r="F174" s="61">
        <v>28</v>
      </c>
      <c r="G174" s="61" t="s">
        <v>199</v>
      </c>
      <c r="H174" s="62">
        <v>252</v>
      </c>
      <c r="I174" s="63">
        <f t="shared" si="8"/>
        <v>1848</v>
      </c>
      <c r="J174" s="59" t="str">
        <f t="shared" si="9"/>
        <v>יום חמישי</v>
      </c>
      <c r="K174" s="64">
        <f t="shared" si="10"/>
        <v>44366</v>
      </c>
      <c r="L174" s="59">
        <f>VLOOKUP(WEEKDAY(A174),'[1]נתונים נוספים'!$C$4:$J$6,VLOOKUP('חתירה למטרה 2'!D174,'[1]נתונים נוספים'!$M$9:$N$15,2,FALSE),TRUE)*'חתירה למטרה 2'!I174</f>
        <v>147.84</v>
      </c>
    </row>
    <row r="175" spans="1:12" x14ac:dyDescent="0.25">
      <c r="A175" s="60">
        <v>44105</v>
      </c>
      <c r="B175" s="61" t="s">
        <v>101</v>
      </c>
      <c r="C175" s="61" t="s">
        <v>186</v>
      </c>
      <c r="D175" s="61" t="s">
        <v>173</v>
      </c>
      <c r="E175" s="61">
        <v>399</v>
      </c>
      <c r="F175" s="61">
        <v>15</v>
      </c>
      <c r="G175" s="61" t="s">
        <v>188</v>
      </c>
      <c r="H175" s="62">
        <v>538.65</v>
      </c>
      <c r="I175" s="63">
        <f t="shared" si="8"/>
        <v>5446.35</v>
      </c>
      <c r="J175" s="59" t="str">
        <f t="shared" si="9"/>
        <v>יום חמישי</v>
      </c>
      <c r="K175" s="64">
        <f t="shared" si="10"/>
        <v>44145</v>
      </c>
      <c r="L175" s="59">
        <f>VLOOKUP(WEEKDAY(A175),'[1]נתונים נוספים'!$C$4:$J$6,VLOOKUP('חתירה למטרה 2'!D175,'[1]נתונים נוספים'!$M$9:$N$15,2,FALSE),TRUE)*'חתירה למטרה 2'!I175</f>
        <v>0</v>
      </c>
    </row>
    <row r="176" spans="1:12" x14ac:dyDescent="0.25">
      <c r="A176" s="60">
        <v>44303</v>
      </c>
      <c r="B176" s="61" t="s">
        <v>162</v>
      </c>
      <c r="C176" s="61" t="s">
        <v>186</v>
      </c>
      <c r="D176" s="61" t="s">
        <v>173</v>
      </c>
      <c r="E176" s="61">
        <v>399</v>
      </c>
      <c r="F176" s="61">
        <v>1</v>
      </c>
      <c r="G176" s="61" t="s">
        <v>168</v>
      </c>
      <c r="H176" s="62">
        <v>67.83</v>
      </c>
      <c r="I176" s="63">
        <f t="shared" si="8"/>
        <v>331.17</v>
      </c>
      <c r="J176" s="59" t="str">
        <f t="shared" si="9"/>
        <v>שבת</v>
      </c>
      <c r="K176" s="64">
        <f t="shared" si="10"/>
        <v>44393</v>
      </c>
      <c r="L176" s="59">
        <f>VLOOKUP(WEEKDAY(A176),'[1]נתונים נוספים'!$C$4:$J$6,VLOOKUP('חתירה למטרה 2'!D176,'[1]נתונים נוספים'!$M$9:$N$15,2,FALSE),TRUE)*'חתירה למטרה 2'!I176</f>
        <v>8.2792500000000011</v>
      </c>
    </row>
    <row r="177" spans="1:12" x14ac:dyDescent="0.25">
      <c r="A177" s="60">
        <v>44058</v>
      </c>
      <c r="B177" s="61" t="s">
        <v>162</v>
      </c>
      <c r="C177" s="61" t="s">
        <v>185</v>
      </c>
      <c r="D177" s="61" t="s">
        <v>177</v>
      </c>
      <c r="E177" s="61">
        <v>95</v>
      </c>
      <c r="F177" s="61">
        <v>2</v>
      </c>
      <c r="G177" s="61" t="s">
        <v>189</v>
      </c>
      <c r="H177" s="62">
        <v>20.9</v>
      </c>
      <c r="I177" s="63">
        <f t="shared" si="8"/>
        <v>169.1</v>
      </c>
      <c r="J177" s="59" t="str">
        <f t="shared" si="9"/>
        <v>שבת</v>
      </c>
      <c r="K177" s="64">
        <f t="shared" si="10"/>
        <v>44148</v>
      </c>
      <c r="L177" s="59">
        <f>VLOOKUP(WEEKDAY(A177),'[1]נתונים נוספים'!$C$4:$J$6,VLOOKUP('חתירה למטרה 2'!D177,'[1]נתונים נוספים'!$M$9:$N$15,2,FALSE),TRUE)*'חתירה למטרה 2'!I177</f>
        <v>0</v>
      </c>
    </row>
    <row r="178" spans="1:12" x14ac:dyDescent="0.25">
      <c r="A178" s="60">
        <v>44141</v>
      </c>
      <c r="B178" s="61" t="s">
        <v>101</v>
      </c>
      <c r="C178" s="61" t="s">
        <v>172</v>
      </c>
      <c r="D178" s="61" t="s">
        <v>173</v>
      </c>
      <c r="E178" s="61">
        <v>175</v>
      </c>
      <c r="F178" s="61">
        <v>15</v>
      </c>
      <c r="G178" s="61" t="s">
        <v>174</v>
      </c>
      <c r="H178" s="62">
        <v>288.75</v>
      </c>
      <c r="I178" s="63">
        <f t="shared" si="8"/>
        <v>2336.25</v>
      </c>
      <c r="J178" s="59" t="str">
        <f t="shared" si="9"/>
        <v>יום שישי</v>
      </c>
      <c r="K178" s="64">
        <f t="shared" si="10"/>
        <v>44181</v>
      </c>
      <c r="L178" s="59">
        <f>VLOOKUP(WEEKDAY(A178),'[1]נתונים נוספים'!$C$4:$J$6,VLOOKUP('חתירה למטרה 2'!D178,'[1]נתונים נוספים'!$M$9:$N$15,2,FALSE),TRUE)*'חתירה למטרה 2'!I178</f>
        <v>58.40625</v>
      </c>
    </row>
    <row r="179" spans="1:12" x14ac:dyDescent="0.25">
      <c r="A179" s="60">
        <v>44242</v>
      </c>
      <c r="B179" s="61" t="s">
        <v>162</v>
      </c>
      <c r="C179" s="61" t="s">
        <v>167</v>
      </c>
      <c r="D179" s="61" t="s">
        <v>160</v>
      </c>
      <c r="E179" s="61">
        <v>149</v>
      </c>
      <c r="F179" s="61">
        <v>27</v>
      </c>
      <c r="G179" s="61" t="s">
        <v>165</v>
      </c>
      <c r="H179" s="62">
        <v>281.61</v>
      </c>
      <c r="I179" s="63">
        <f t="shared" si="8"/>
        <v>3741.39</v>
      </c>
      <c r="J179" s="59" t="str">
        <f t="shared" si="9"/>
        <v>יום שני</v>
      </c>
      <c r="K179" s="64">
        <f t="shared" si="10"/>
        <v>44332</v>
      </c>
      <c r="L179" s="59">
        <f>VLOOKUP(WEEKDAY(A179),'[1]נתונים נוספים'!$C$4:$J$6,VLOOKUP('חתירה למטרה 2'!D179,'[1]נתונים נוספים'!$M$9:$N$15,2,FALSE),TRUE)*'חתירה למטרה 2'!I179</f>
        <v>112.24169999999999</v>
      </c>
    </row>
    <row r="180" spans="1:12" x14ac:dyDescent="0.25">
      <c r="A180" s="60">
        <v>44191</v>
      </c>
      <c r="B180" s="61" t="s">
        <v>101</v>
      </c>
      <c r="C180" s="61" t="s">
        <v>202</v>
      </c>
      <c r="D180" s="61" t="s">
        <v>177</v>
      </c>
      <c r="E180" s="61">
        <v>599</v>
      </c>
      <c r="F180" s="61">
        <v>33</v>
      </c>
      <c r="G180" s="61" t="s">
        <v>188</v>
      </c>
      <c r="H180" s="62">
        <v>1779.03</v>
      </c>
      <c r="I180" s="63">
        <f t="shared" si="8"/>
        <v>17987.97</v>
      </c>
      <c r="J180" s="59" t="str">
        <f t="shared" si="9"/>
        <v>שבת</v>
      </c>
      <c r="K180" s="64">
        <f t="shared" si="10"/>
        <v>44241</v>
      </c>
      <c r="L180" s="59">
        <f>VLOOKUP(WEEKDAY(A180),'[1]נתונים נוספים'!$C$4:$J$6,VLOOKUP('חתירה למטרה 2'!D180,'[1]נתונים נוספים'!$M$9:$N$15,2,FALSE),TRUE)*'חתירה למטרה 2'!I180</f>
        <v>0</v>
      </c>
    </row>
    <row r="181" spans="1:12" x14ac:dyDescent="0.25">
      <c r="A181" s="60">
        <v>44028</v>
      </c>
      <c r="B181" s="61" t="s">
        <v>162</v>
      </c>
      <c r="C181" s="61" t="s">
        <v>163</v>
      </c>
      <c r="D181" s="61" t="s">
        <v>164</v>
      </c>
      <c r="E181" s="61">
        <v>139</v>
      </c>
      <c r="F181" s="61">
        <v>9</v>
      </c>
      <c r="G181" s="61" t="s">
        <v>183</v>
      </c>
      <c r="H181" s="62">
        <v>100.08</v>
      </c>
      <c r="I181" s="63">
        <f t="shared" si="8"/>
        <v>1150.92</v>
      </c>
      <c r="J181" s="59" t="str">
        <f t="shared" si="9"/>
        <v>יום חמישי</v>
      </c>
      <c r="K181" s="64">
        <f t="shared" si="10"/>
        <v>44118</v>
      </c>
      <c r="L181" s="59">
        <f>VLOOKUP(WEEKDAY(A181),'[1]נתונים נוספים'!$C$4:$J$6,VLOOKUP('חתירה למטרה 2'!D181,'[1]נתונים נוספים'!$M$9:$N$15,2,FALSE),TRUE)*'חתירה למטרה 2'!I181</f>
        <v>92.073600000000013</v>
      </c>
    </row>
    <row r="182" spans="1:12" x14ac:dyDescent="0.25">
      <c r="A182" s="60">
        <v>44116</v>
      </c>
      <c r="B182" s="61" t="s">
        <v>162</v>
      </c>
      <c r="C182" s="61" t="s">
        <v>185</v>
      </c>
      <c r="D182" s="61" t="s">
        <v>177</v>
      </c>
      <c r="E182" s="61">
        <v>95</v>
      </c>
      <c r="F182" s="61">
        <v>30</v>
      </c>
      <c r="G182" s="61" t="s">
        <v>183</v>
      </c>
      <c r="H182" s="62">
        <v>313.5</v>
      </c>
      <c r="I182" s="63">
        <f t="shared" si="8"/>
        <v>2536.5</v>
      </c>
      <c r="J182" s="59" t="str">
        <f t="shared" si="9"/>
        <v>יום שני</v>
      </c>
      <c r="K182" s="64">
        <f t="shared" si="10"/>
        <v>44206</v>
      </c>
      <c r="L182" s="59">
        <f>VLOOKUP(WEEKDAY(A182),'[1]נתונים נוספים'!$C$4:$J$6,VLOOKUP('חתירה למטרה 2'!D182,'[1]נתונים נוספים'!$M$9:$N$15,2,FALSE),TRUE)*'חתירה למטרה 2'!I182</f>
        <v>50.730000000000004</v>
      </c>
    </row>
    <row r="183" spans="1:12" x14ac:dyDescent="0.25">
      <c r="A183" s="60">
        <v>44305</v>
      </c>
      <c r="B183" s="61" t="s">
        <v>162</v>
      </c>
      <c r="C183" s="61" t="s">
        <v>208</v>
      </c>
      <c r="D183" s="61" t="s">
        <v>209</v>
      </c>
      <c r="E183" s="61">
        <v>199</v>
      </c>
      <c r="F183" s="61">
        <v>33</v>
      </c>
      <c r="G183" s="61" t="s">
        <v>168</v>
      </c>
      <c r="H183" s="62">
        <v>1050.72</v>
      </c>
      <c r="I183" s="63">
        <f t="shared" si="8"/>
        <v>5516.28</v>
      </c>
      <c r="J183" s="59" t="str">
        <f t="shared" si="9"/>
        <v>יום שני</v>
      </c>
      <c r="K183" s="64">
        <f t="shared" si="10"/>
        <v>44395</v>
      </c>
      <c r="L183" s="59">
        <f>VLOOKUP(WEEKDAY(A183),'[1]נתונים נוספים'!$C$4:$J$6,VLOOKUP('חתירה למטרה 2'!D183,'[1]נתונים נוספים'!$M$9:$N$15,2,FALSE),TRUE)*'חתירה למטרה 2'!I183</f>
        <v>0</v>
      </c>
    </row>
    <row r="184" spans="1:12" x14ac:dyDescent="0.25">
      <c r="A184" s="60">
        <v>44290</v>
      </c>
      <c r="B184" s="61" t="s">
        <v>101</v>
      </c>
      <c r="C184" s="61" t="s">
        <v>202</v>
      </c>
      <c r="D184" s="61" t="s">
        <v>177</v>
      </c>
      <c r="E184" s="61">
        <v>599</v>
      </c>
      <c r="F184" s="61">
        <v>31</v>
      </c>
      <c r="G184" s="61" t="s">
        <v>188</v>
      </c>
      <c r="H184" s="62">
        <v>3528.11</v>
      </c>
      <c r="I184" s="63">
        <f t="shared" si="8"/>
        <v>15040.89</v>
      </c>
      <c r="J184" s="59" t="str">
        <f t="shared" si="9"/>
        <v>יום ראשון</v>
      </c>
      <c r="K184" s="64">
        <f t="shared" si="10"/>
        <v>44320</v>
      </c>
      <c r="L184" s="59">
        <f>VLOOKUP(WEEKDAY(A184),'[1]נתונים נוספים'!$C$4:$J$6,VLOOKUP('חתירה למטרה 2'!D184,'[1]נתונים נוספים'!$M$9:$N$15,2,FALSE),TRUE)*'חתירה למטרה 2'!I184</f>
        <v>300.81779999999998</v>
      </c>
    </row>
    <row r="185" spans="1:12" x14ac:dyDescent="0.25">
      <c r="A185" s="60">
        <v>44352</v>
      </c>
      <c r="B185" s="61" t="s">
        <v>178</v>
      </c>
      <c r="C185" s="61" t="s">
        <v>167</v>
      </c>
      <c r="D185" s="61" t="s">
        <v>160</v>
      </c>
      <c r="E185" s="61">
        <v>149</v>
      </c>
      <c r="F185" s="61">
        <v>20</v>
      </c>
      <c r="G185" s="61" t="s">
        <v>207</v>
      </c>
      <c r="H185" s="62">
        <v>178.79999999999998</v>
      </c>
      <c r="I185" s="63">
        <f t="shared" si="8"/>
        <v>2801.2</v>
      </c>
      <c r="J185" s="59" t="str">
        <f t="shared" si="9"/>
        <v>שבת</v>
      </c>
      <c r="K185" s="64">
        <f t="shared" si="10"/>
        <v>44382</v>
      </c>
      <c r="L185" s="59">
        <f>VLOOKUP(WEEKDAY(A185),'[1]נתונים נוספים'!$C$4:$J$6,VLOOKUP('חתירה למטרה 2'!D185,'[1]נתונים נוספים'!$M$9:$N$15,2,FALSE),TRUE)*'חתירה למטרה 2'!I185</f>
        <v>0</v>
      </c>
    </row>
    <row r="186" spans="1:12" x14ac:dyDescent="0.25">
      <c r="A186" s="60">
        <v>44350</v>
      </c>
      <c r="B186" s="61" t="s">
        <v>101</v>
      </c>
      <c r="C186" s="61" t="s">
        <v>200</v>
      </c>
      <c r="D186" s="61" t="s">
        <v>177</v>
      </c>
      <c r="E186" s="61">
        <v>350</v>
      </c>
      <c r="F186" s="61">
        <v>17</v>
      </c>
      <c r="G186" s="61" t="s">
        <v>188</v>
      </c>
      <c r="H186" s="62">
        <v>833.00000000000011</v>
      </c>
      <c r="I186" s="63">
        <f t="shared" si="8"/>
        <v>5117</v>
      </c>
      <c r="J186" s="59" t="str">
        <f t="shared" si="9"/>
        <v>יום חמישי</v>
      </c>
      <c r="K186" s="64">
        <f t="shared" si="10"/>
        <v>44380</v>
      </c>
      <c r="L186" s="59">
        <f>VLOOKUP(WEEKDAY(A186),'[1]נתונים נוספים'!$C$4:$J$6,VLOOKUP('חתירה למטרה 2'!D186,'[1]נתונים נוספים'!$M$9:$N$15,2,FALSE),TRUE)*'חתירה למטרה 2'!I186</f>
        <v>204.68</v>
      </c>
    </row>
    <row r="187" spans="1:12" x14ac:dyDescent="0.25">
      <c r="A187" s="60">
        <v>44081</v>
      </c>
      <c r="B187" s="61" t="s">
        <v>162</v>
      </c>
      <c r="C187" s="61" t="s">
        <v>159</v>
      </c>
      <c r="D187" s="61" t="s">
        <v>160</v>
      </c>
      <c r="E187" s="61">
        <v>299</v>
      </c>
      <c r="F187" s="61">
        <v>18</v>
      </c>
      <c r="G187" s="61" t="s">
        <v>189</v>
      </c>
      <c r="H187" s="62">
        <v>645.84</v>
      </c>
      <c r="I187" s="63">
        <f t="shared" si="8"/>
        <v>4736.16</v>
      </c>
      <c r="J187" s="59" t="str">
        <f t="shared" si="9"/>
        <v>יום שני</v>
      </c>
      <c r="K187" s="64">
        <f t="shared" si="10"/>
        <v>44171</v>
      </c>
      <c r="L187" s="59">
        <f>VLOOKUP(WEEKDAY(A187),'[1]נתונים נוספים'!$C$4:$J$6,VLOOKUP('חתירה למטרה 2'!D187,'[1]נתונים נוספים'!$M$9:$N$15,2,FALSE),TRUE)*'חתירה למטרה 2'!I187</f>
        <v>142.0848</v>
      </c>
    </row>
    <row r="188" spans="1:12" x14ac:dyDescent="0.25">
      <c r="A188" s="60">
        <v>44182</v>
      </c>
      <c r="B188" s="61" t="s">
        <v>175</v>
      </c>
      <c r="C188" s="61" t="s">
        <v>202</v>
      </c>
      <c r="D188" s="61" t="s">
        <v>177</v>
      </c>
      <c r="E188" s="61">
        <v>599</v>
      </c>
      <c r="F188" s="61">
        <v>11</v>
      </c>
      <c r="G188" s="61" t="s">
        <v>196</v>
      </c>
      <c r="H188" s="62">
        <v>1449.58</v>
      </c>
      <c r="I188" s="63">
        <f t="shared" si="8"/>
        <v>5139.42</v>
      </c>
      <c r="J188" s="59" t="str">
        <f t="shared" si="9"/>
        <v>יום חמישי</v>
      </c>
      <c r="K188" s="64">
        <f t="shared" si="10"/>
        <v>44232</v>
      </c>
      <c r="L188" s="59">
        <f>VLOOKUP(WEEKDAY(A188),'[1]נתונים נוספים'!$C$4:$J$6,VLOOKUP('חתירה למטרה 2'!D188,'[1]נתונים נוספים'!$M$9:$N$15,2,FALSE),TRUE)*'חתירה למטרה 2'!I188</f>
        <v>205.57680000000002</v>
      </c>
    </row>
    <row r="189" spans="1:12" x14ac:dyDescent="0.25">
      <c r="A189" s="60">
        <v>44315</v>
      </c>
      <c r="B189" s="61" t="s">
        <v>162</v>
      </c>
      <c r="C189" s="61" t="s">
        <v>159</v>
      </c>
      <c r="D189" s="61" t="s">
        <v>160</v>
      </c>
      <c r="E189" s="61">
        <v>299</v>
      </c>
      <c r="F189" s="61">
        <v>12</v>
      </c>
      <c r="G189" s="61" t="s">
        <v>183</v>
      </c>
      <c r="H189" s="62">
        <v>358.8</v>
      </c>
      <c r="I189" s="63">
        <f t="shared" si="8"/>
        <v>3229.2</v>
      </c>
      <c r="J189" s="59" t="str">
        <f t="shared" si="9"/>
        <v>יום חמישי</v>
      </c>
      <c r="K189" s="64">
        <f t="shared" si="10"/>
        <v>44405</v>
      </c>
      <c r="L189" s="59">
        <f>VLOOKUP(WEEKDAY(A189),'[1]נתונים נוספים'!$C$4:$J$6,VLOOKUP('חתירה למטרה 2'!D189,'[1]נתונים נוספים'!$M$9:$N$15,2,FALSE),TRUE)*'חתירה למטרה 2'!I189</f>
        <v>355.21199999999999</v>
      </c>
    </row>
    <row r="190" spans="1:12" x14ac:dyDescent="0.25">
      <c r="A190" s="60">
        <v>44168</v>
      </c>
      <c r="B190" s="61" t="s">
        <v>101</v>
      </c>
      <c r="C190" s="61" t="s">
        <v>163</v>
      </c>
      <c r="D190" s="61" t="s">
        <v>164</v>
      </c>
      <c r="E190" s="61">
        <v>139</v>
      </c>
      <c r="F190" s="61">
        <v>11</v>
      </c>
      <c r="G190" s="61" t="s">
        <v>188</v>
      </c>
      <c r="H190" s="62">
        <v>305.8</v>
      </c>
      <c r="I190" s="63">
        <f t="shared" si="8"/>
        <v>1223.2</v>
      </c>
      <c r="J190" s="59" t="str">
        <f t="shared" si="9"/>
        <v>יום חמישי</v>
      </c>
      <c r="K190" s="64">
        <f t="shared" si="10"/>
        <v>44218</v>
      </c>
      <c r="L190" s="59">
        <f>VLOOKUP(WEEKDAY(A190),'[1]נתונים נוספים'!$C$4:$J$6,VLOOKUP('חתירה למטרה 2'!D190,'[1]נתונים נוספים'!$M$9:$N$15,2,FALSE),TRUE)*'חתירה למטרה 2'!I190</f>
        <v>97.856000000000009</v>
      </c>
    </row>
    <row r="191" spans="1:12" x14ac:dyDescent="0.25">
      <c r="A191" s="60">
        <v>44198</v>
      </c>
      <c r="B191" s="61" t="s">
        <v>162</v>
      </c>
      <c r="C191" s="61" t="s">
        <v>163</v>
      </c>
      <c r="D191" s="61" t="s">
        <v>164</v>
      </c>
      <c r="E191" s="61">
        <v>139</v>
      </c>
      <c r="F191" s="61">
        <v>5</v>
      </c>
      <c r="G191" s="61" t="s">
        <v>189</v>
      </c>
      <c r="H191" s="62">
        <v>62.55</v>
      </c>
      <c r="I191" s="63">
        <f t="shared" si="8"/>
        <v>632.45000000000005</v>
      </c>
      <c r="J191" s="59" t="str">
        <f t="shared" si="9"/>
        <v>שבת</v>
      </c>
      <c r="K191" s="64">
        <f t="shared" si="10"/>
        <v>44288</v>
      </c>
      <c r="L191" s="59">
        <f>VLOOKUP(WEEKDAY(A191),'[1]נתונים נוספים'!$C$4:$J$6,VLOOKUP('חתירה למטרה 2'!D191,'[1]נתונים נוספים'!$M$9:$N$15,2,FALSE),TRUE)*'חתירה למטרה 2'!I191</f>
        <v>34.784750000000003</v>
      </c>
    </row>
    <row r="192" spans="1:12" x14ac:dyDescent="0.25">
      <c r="A192" s="60">
        <v>44212</v>
      </c>
      <c r="B192" s="61" t="s">
        <v>162</v>
      </c>
      <c r="C192" s="61" t="s">
        <v>198</v>
      </c>
      <c r="D192" s="61" t="s">
        <v>180</v>
      </c>
      <c r="E192" s="61">
        <v>629</v>
      </c>
      <c r="F192" s="61">
        <v>22</v>
      </c>
      <c r="G192" s="61" t="s">
        <v>189</v>
      </c>
      <c r="H192" s="62">
        <v>1522.18</v>
      </c>
      <c r="I192" s="63">
        <f t="shared" si="8"/>
        <v>12315.82</v>
      </c>
      <c r="J192" s="59" t="str">
        <f t="shared" si="9"/>
        <v>שבת</v>
      </c>
      <c r="K192" s="64">
        <f t="shared" si="10"/>
        <v>44302</v>
      </c>
      <c r="L192" s="59">
        <f>VLOOKUP(WEEKDAY(A192),'[1]נתונים נוספים'!$C$4:$J$6,VLOOKUP('חתירה למטרה 2'!D192,'[1]נתונים נוספים'!$M$9:$N$15,2,FALSE),TRUE)*'חתירה למטרה 2'!I192</f>
        <v>738.94919999999991</v>
      </c>
    </row>
    <row r="193" spans="1:12" x14ac:dyDescent="0.25">
      <c r="A193" s="60">
        <v>44343</v>
      </c>
      <c r="B193" s="61" t="s">
        <v>101</v>
      </c>
      <c r="C193" s="61" t="s">
        <v>167</v>
      </c>
      <c r="D193" s="61" t="s">
        <v>160</v>
      </c>
      <c r="E193" s="61">
        <v>149</v>
      </c>
      <c r="F193" s="61">
        <v>6</v>
      </c>
      <c r="G193" s="61" t="s">
        <v>174</v>
      </c>
      <c r="H193" s="62">
        <v>151.98000000000002</v>
      </c>
      <c r="I193" s="63">
        <f t="shared" si="8"/>
        <v>742.02</v>
      </c>
      <c r="J193" s="59" t="str">
        <f t="shared" si="9"/>
        <v>יום חמישי</v>
      </c>
      <c r="K193" s="64">
        <f t="shared" si="10"/>
        <v>44373</v>
      </c>
      <c r="L193" s="59">
        <f>VLOOKUP(WEEKDAY(A193),'[1]נתונים נוספים'!$C$4:$J$6,VLOOKUP('חתירה למטרה 2'!D193,'[1]נתונים נוספים'!$M$9:$N$15,2,FALSE),TRUE)*'חתירה למטרה 2'!I193</f>
        <v>81.622199999999992</v>
      </c>
    </row>
    <row r="194" spans="1:12" x14ac:dyDescent="0.25">
      <c r="A194" s="60">
        <v>44087</v>
      </c>
      <c r="B194" s="61" t="s">
        <v>162</v>
      </c>
      <c r="C194" s="61" t="s">
        <v>210</v>
      </c>
      <c r="D194" s="61" t="s">
        <v>209</v>
      </c>
      <c r="E194" s="61">
        <v>99</v>
      </c>
      <c r="F194" s="61">
        <v>2</v>
      </c>
      <c r="G194" s="61" t="s">
        <v>189</v>
      </c>
      <c r="H194" s="62">
        <v>11.879999999999999</v>
      </c>
      <c r="I194" s="63">
        <f t="shared" si="8"/>
        <v>186.12</v>
      </c>
      <c r="J194" s="59" t="str">
        <f t="shared" si="9"/>
        <v>יום ראשון</v>
      </c>
      <c r="K194" s="64">
        <f t="shared" si="10"/>
        <v>44177</v>
      </c>
      <c r="L194" s="59">
        <f>VLOOKUP(WEEKDAY(A194),'[1]נתונים נוספים'!$C$4:$J$6,VLOOKUP('חתירה למטרה 2'!D194,'[1]נתונים נוספים'!$M$9:$N$15,2,FALSE),TRUE)*'חתירה למטרה 2'!I194</f>
        <v>0</v>
      </c>
    </row>
    <row r="195" spans="1:12" x14ac:dyDescent="0.25">
      <c r="A195" s="60">
        <v>44049</v>
      </c>
      <c r="B195" s="61" t="s">
        <v>82</v>
      </c>
      <c r="C195" s="61" t="s">
        <v>204</v>
      </c>
      <c r="D195" s="61" t="s">
        <v>177</v>
      </c>
      <c r="E195" s="61">
        <v>555</v>
      </c>
      <c r="F195" s="61">
        <v>26</v>
      </c>
      <c r="G195" s="61" t="s">
        <v>197</v>
      </c>
      <c r="H195" s="62">
        <v>1010.1000000000001</v>
      </c>
      <c r="I195" s="63">
        <f t="shared" ref="I195:I258" si="11">E195*F195-H195</f>
        <v>13419.9</v>
      </c>
      <c r="J195" s="59" t="str">
        <f t="shared" ref="J195:J258" si="12">TEXT(A195,"dddd")</f>
        <v>יום חמישי</v>
      </c>
      <c r="K195" s="64">
        <f t="shared" ref="K195:K258" si="13">IF(B195=$K$270,A195+$L$270,VLOOKUP(MONTH(A195),$K$272:$L$275,2,TRUE)+A195)</f>
        <v>44089</v>
      </c>
      <c r="L195" s="59">
        <f>VLOOKUP(WEEKDAY(A195),'[1]נתונים נוספים'!$C$4:$J$6,VLOOKUP('חתירה למטרה 2'!D195,'[1]נתונים נוספים'!$M$9:$N$15,2,FALSE),TRUE)*'חתירה למטרה 2'!I195</f>
        <v>536.79600000000005</v>
      </c>
    </row>
    <row r="196" spans="1:12" x14ac:dyDescent="0.25">
      <c r="A196" s="60">
        <v>44333</v>
      </c>
      <c r="B196" s="61" t="s">
        <v>60</v>
      </c>
      <c r="C196" s="61" t="s">
        <v>198</v>
      </c>
      <c r="D196" s="61" t="s">
        <v>180</v>
      </c>
      <c r="E196" s="61">
        <v>629</v>
      </c>
      <c r="F196" s="61">
        <v>22</v>
      </c>
      <c r="G196" s="61" t="s">
        <v>211</v>
      </c>
      <c r="H196" s="62">
        <v>1798.94</v>
      </c>
      <c r="I196" s="63">
        <f t="shared" si="11"/>
        <v>12039.06</v>
      </c>
      <c r="J196" s="59" t="str">
        <f t="shared" si="12"/>
        <v>יום שני</v>
      </c>
      <c r="K196" s="64">
        <f t="shared" si="13"/>
        <v>44363</v>
      </c>
      <c r="L196" s="59">
        <f>VLOOKUP(WEEKDAY(A196),'[1]נתונים נוספים'!$C$4:$J$6,VLOOKUP('חתירה למטרה 2'!D196,'[1]נתונים נוספים'!$M$9:$N$15,2,FALSE),TRUE)*'חתירה למטרה 2'!I196</f>
        <v>601.95299999999997</v>
      </c>
    </row>
    <row r="197" spans="1:12" x14ac:dyDescent="0.25">
      <c r="A197" s="60">
        <v>44235</v>
      </c>
      <c r="B197" s="61" t="s">
        <v>101</v>
      </c>
      <c r="C197" s="61" t="s">
        <v>182</v>
      </c>
      <c r="D197" s="61" t="s">
        <v>177</v>
      </c>
      <c r="E197" s="61">
        <v>59</v>
      </c>
      <c r="F197" s="61">
        <v>30</v>
      </c>
      <c r="G197" s="61" t="s">
        <v>161</v>
      </c>
      <c r="H197" s="62">
        <v>247.8</v>
      </c>
      <c r="I197" s="63">
        <f t="shared" si="11"/>
        <v>1522.2</v>
      </c>
      <c r="J197" s="59" t="str">
        <f t="shared" si="12"/>
        <v>יום שני</v>
      </c>
      <c r="K197" s="64">
        <f t="shared" si="13"/>
        <v>44255</v>
      </c>
      <c r="L197" s="59">
        <f>VLOOKUP(WEEKDAY(A197),'[1]נתונים נוספים'!$C$4:$J$6,VLOOKUP('חתירה למטרה 2'!D197,'[1]נתונים נוספים'!$M$9:$N$15,2,FALSE),TRUE)*'חתירה למטרה 2'!I197</f>
        <v>30.444000000000003</v>
      </c>
    </row>
    <row r="198" spans="1:12" x14ac:dyDescent="0.25">
      <c r="A198" s="60">
        <v>44172</v>
      </c>
      <c r="B198" s="61" t="s">
        <v>175</v>
      </c>
      <c r="C198" s="61" t="s">
        <v>187</v>
      </c>
      <c r="D198" s="61" t="s">
        <v>177</v>
      </c>
      <c r="E198" s="61">
        <v>99</v>
      </c>
      <c r="F198" s="61">
        <v>22</v>
      </c>
      <c r="G198" s="61" t="s">
        <v>193</v>
      </c>
      <c r="H198" s="62">
        <v>174.24</v>
      </c>
      <c r="I198" s="63">
        <f t="shared" si="11"/>
        <v>2003.76</v>
      </c>
      <c r="J198" s="59" t="str">
        <f t="shared" si="12"/>
        <v>יום שני</v>
      </c>
      <c r="K198" s="64">
        <f t="shared" si="13"/>
        <v>44222</v>
      </c>
      <c r="L198" s="59">
        <f>VLOOKUP(WEEKDAY(A198),'[1]נתונים נוספים'!$C$4:$J$6,VLOOKUP('חתירה למטרה 2'!D198,'[1]נתונים נוספים'!$M$9:$N$15,2,FALSE),TRUE)*'חתירה למטרה 2'!I198</f>
        <v>40.075200000000002</v>
      </c>
    </row>
    <row r="199" spans="1:12" x14ac:dyDescent="0.25">
      <c r="A199" s="60">
        <v>44193</v>
      </c>
      <c r="B199" s="61" t="s">
        <v>162</v>
      </c>
      <c r="C199" s="61" t="s">
        <v>163</v>
      </c>
      <c r="D199" s="61" t="s">
        <v>164</v>
      </c>
      <c r="E199" s="61">
        <v>139</v>
      </c>
      <c r="F199" s="61">
        <v>16</v>
      </c>
      <c r="G199" s="61" t="s">
        <v>189</v>
      </c>
      <c r="H199" s="62">
        <v>244.64000000000001</v>
      </c>
      <c r="I199" s="63">
        <f t="shared" si="11"/>
        <v>1979.36</v>
      </c>
      <c r="J199" s="59" t="str">
        <f t="shared" si="12"/>
        <v>יום שני</v>
      </c>
      <c r="K199" s="64">
        <f t="shared" si="13"/>
        <v>44283</v>
      </c>
      <c r="L199" s="59">
        <f>VLOOKUP(WEEKDAY(A199),'[1]נתונים נוספים'!$C$4:$J$6,VLOOKUP('חתירה למטרה 2'!D199,'[1]נתונים נוספים'!$M$9:$N$15,2,FALSE),TRUE)*'חתירה למטרה 2'!I199</f>
        <v>0</v>
      </c>
    </row>
    <row r="200" spans="1:12" x14ac:dyDescent="0.25">
      <c r="A200" s="60">
        <v>44072</v>
      </c>
      <c r="B200" s="61" t="s">
        <v>82</v>
      </c>
      <c r="C200" s="61" t="s">
        <v>190</v>
      </c>
      <c r="D200" s="61" t="s">
        <v>191</v>
      </c>
      <c r="E200" s="61">
        <v>280</v>
      </c>
      <c r="F200" s="61">
        <v>9</v>
      </c>
      <c r="G200" s="61" t="s">
        <v>199</v>
      </c>
      <c r="H200" s="62">
        <v>428.40000000000003</v>
      </c>
      <c r="I200" s="63">
        <f t="shared" si="11"/>
        <v>2091.6</v>
      </c>
      <c r="J200" s="59" t="str">
        <f t="shared" si="12"/>
        <v>שבת</v>
      </c>
      <c r="K200" s="64">
        <f t="shared" si="13"/>
        <v>44112</v>
      </c>
      <c r="L200" s="59">
        <f>VLOOKUP(WEEKDAY(A200),'[1]נתונים נוספים'!$C$4:$J$6,VLOOKUP('חתירה למטרה 2'!D200,'[1]נתונים נוספים'!$M$9:$N$15,2,FALSE),TRUE)*'חתירה למטרה 2'!I200</f>
        <v>73.206000000000003</v>
      </c>
    </row>
    <row r="201" spans="1:12" x14ac:dyDescent="0.25">
      <c r="A201" s="60">
        <v>44289</v>
      </c>
      <c r="B201" s="61" t="s">
        <v>82</v>
      </c>
      <c r="C201" s="61" t="s">
        <v>186</v>
      </c>
      <c r="D201" s="61" t="s">
        <v>173</v>
      </c>
      <c r="E201" s="61">
        <v>399</v>
      </c>
      <c r="F201" s="61">
        <v>10</v>
      </c>
      <c r="G201" s="61" t="s">
        <v>170</v>
      </c>
      <c r="H201" s="62">
        <v>678.30000000000007</v>
      </c>
      <c r="I201" s="63">
        <f t="shared" si="11"/>
        <v>3311.7</v>
      </c>
      <c r="J201" s="59" t="str">
        <f t="shared" si="12"/>
        <v>שבת</v>
      </c>
      <c r="K201" s="64">
        <f t="shared" si="13"/>
        <v>44319</v>
      </c>
      <c r="L201" s="59">
        <f>VLOOKUP(WEEKDAY(A201),'[1]נתונים נוספים'!$C$4:$J$6,VLOOKUP('חתירה למטרה 2'!D201,'[1]נתונים נוספים'!$M$9:$N$15,2,FALSE),TRUE)*'חתירה למטרה 2'!I201</f>
        <v>82.792500000000004</v>
      </c>
    </row>
    <row r="202" spans="1:12" x14ac:dyDescent="0.25">
      <c r="A202" s="60">
        <v>44346</v>
      </c>
      <c r="B202" s="61" t="s">
        <v>162</v>
      </c>
      <c r="C202" s="61" t="s">
        <v>200</v>
      </c>
      <c r="D202" s="61" t="s">
        <v>177</v>
      </c>
      <c r="E202" s="61">
        <v>350</v>
      </c>
      <c r="F202" s="61">
        <v>2</v>
      </c>
      <c r="G202" s="61" t="s">
        <v>168</v>
      </c>
      <c r="H202" s="62">
        <v>49.000000000000007</v>
      </c>
      <c r="I202" s="63">
        <f t="shared" si="11"/>
        <v>651</v>
      </c>
      <c r="J202" s="59" t="str">
        <f t="shared" si="12"/>
        <v>יום ראשון</v>
      </c>
      <c r="K202" s="64">
        <f t="shared" si="13"/>
        <v>44436</v>
      </c>
      <c r="L202" s="59">
        <f>VLOOKUP(WEEKDAY(A202),'[1]נתונים נוספים'!$C$4:$J$6,VLOOKUP('חתירה למטרה 2'!D202,'[1]נתונים נוספים'!$M$9:$N$15,2,FALSE),TRUE)*'חתירה למטרה 2'!I202</f>
        <v>13.02</v>
      </c>
    </row>
    <row r="203" spans="1:12" x14ac:dyDescent="0.25">
      <c r="A203" s="60">
        <v>44151</v>
      </c>
      <c r="B203" s="61" t="s">
        <v>184</v>
      </c>
      <c r="C203" s="61" t="s">
        <v>182</v>
      </c>
      <c r="D203" s="61" t="s">
        <v>177</v>
      </c>
      <c r="E203" s="61">
        <v>59</v>
      </c>
      <c r="F203" s="61">
        <v>33</v>
      </c>
      <c r="G203" s="61" t="s">
        <v>215</v>
      </c>
      <c r="H203" s="62">
        <v>155.76</v>
      </c>
      <c r="I203" s="63">
        <f t="shared" si="11"/>
        <v>1791.24</v>
      </c>
      <c r="J203" s="59" t="str">
        <f t="shared" si="12"/>
        <v>יום שני</v>
      </c>
      <c r="K203" s="64">
        <f t="shared" si="13"/>
        <v>44191</v>
      </c>
      <c r="L203" s="59">
        <f>VLOOKUP(WEEKDAY(A203),'[1]נתונים נוספים'!$C$4:$J$6,VLOOKUP('חתירה למטרה 2'!D203,'[1]נתונים נוספים'!$M$9:$N$15,2,FALSE),TRUE)*'חתירה למטרה 2'!I203</f>
        <v>35.824800000000003</v>
      </c>
    </row>
    <row r="204" spans="1:12" x14ac:dyDescent="0.25">
      <c r="A204" s="60">
        <v>44175</v>
      </c>
      <c r="B204" s="61" t="s">
        <v>162</v>
      </c>
      <c r="C204" s="61" t="s">
        <v>190</v>
      </c>
      <c r="D204" s="61" t="s">
        <v>191</v>
      </c>
      <c r="E204" s="61">
        <v>280</v>
      </c>
      <c r="F204" s="61">
        <v>25</v>
      </c>
      <c r="G204" s="61" t="s">
        <v>183</v>
      </c>
      <c r="H204" s="62">
        <v>1470</v>
      </c>
      <c r="I204" s="63">
        <f t="shared" si="11"/>
        <v>5530</v>
      </c>
      <c r="J204" s="59" t="str">
        <f t="shared" si="12"/>
        <v>יום חמישי</v>
      </c>
      <c r="K204" s="64">
        <f t="shared" si="13"/>
        <v>44265</v>
      </c>
      <c r="L204" s="59">
        <f>VLOOKUP(WEEKDAY(A204),'[1]נתונים נוספים'!$C$4:$J$6,VLOOKUP('חתירה למטרה 2'!D204,'[1]נתונים נוספים'!$M$9:$N$15,2,FALSE),TRUE)*'חתירה למטרה 2'!I204</f>
        <v>0</v>
      </c>
    </row>
    <row r="205" spans="1:12" x14ac:dyDescent="0.25">
      <c r="A205" s="60">
        <v>44354</v>
      </c>
      <c r="B205" s="61" t="s">
        <v>82</v>
      </c>
      <c r="C205" s="61" t="s">
        <v>182</v>
      </c>
      <c r="D205" s="61" t="s">
        <v>177</v>
      </c>
      <c r="E205" s="61">
        <v>59</v>
      </c>
      <c r="F205" s="61">
        <v>8</v>
      </c>
      <c r="G205" s="61" t="s">
        <v>197</v>
      </c>
      <c r="H205" s="62">
        <v>23.6</v>
      </c>
      <c r="I205" s="63">
        <f t="shared" si="11"/>
        <v>448.4</v>
      </c>
      <c r="J205" s="59" t="str">
        <f t="shared" si="12"/>
        <v>יום שני</v>
      </c>
      <c r="K205" s="64">
        <f t="shared" si="13"/>
        <v>44384</v>
      </c>
      <c r="L205" s="59">
        <f>VLOOKUP(WEEKDAY(A205),'[1]נתונים נוספים'!$C$4:$J$6,VLOOKUP('חתירה למטרה 2'!D205,'[1]נתונים נוספים'!$M$9:$N$15,2,FALSE),TRUE)*'חתירה למטרה 2'!I205</f>
        <v>8.968</v>
      </c>
    </row>
    <row r="206" spans="1:12" x14ac:dyDescent="0.25">
      <c r="A206" s="60">
        <v>44008</v>
      </c>
      <c r="B206" s="61" t="s">
        <v>101</v>
      </c>
      <c r="C206" s="61" t="s">
        <v>163</v>
      </c>
      <c r="D206" s="61" t="s">
        <v>164</v>
      </c>
      <c r="E206" s="61">
        <v>139</v>
      </c>
      <c r="F206" s="61">
        <v>30</v>
      </c>
      <c r="G206" s="61" t="s">
        <v>188</v>
      </c>
      <c r="H206" s="62">
        <v>583.80000000000007</v>
      </c>
      <c r="I206" s="63">
        <f t="shared" si="11"/>
        <v>3586.2</v>
      </c>
      <c r="J206" s="59" t="str">
        <f t="shared" si="12"/>
        <v>יום שישי</v>
      </c>
      <c r="K206" s="64">
        <f t="shared" si="13"/>
        <v>44038</v>
      </c>
      <c r="L206" s="59">
        <f>VLOOKUP(WEEKDAY(A206),'[1]נתונים נוספים'!$C$4:$J$6,VLOOKUP('חתירה למטרה 2'!D206,'[1]נתונים נוספים'!$M$9:$N$15,2,FALSE),TRUE)*'חתירה למטרה 2'!I206</f>
        <v>197.24099999999999</v>
      </c>
    </row>
    <row r="207" spans="1:12" x14ac:dyDescent="0.25">
      <c r="A207" s="60">
        <v>44170</v>
      </c>
      <c r="B207" s="61" t="s">
        <v>162</v>
      </c>
      <c r="C207" s="61" t="s">
        <v>172</v>
      </c>
      <c r="D207" s="61" t="s">
        <v>173</v>
      </c>
      <c r="E207" s="61">
        <v>175</v>
      </c>
      <c r="F207" s="61">
        <v>29</v>
      </c>
      <c r="G207" s="61" t="s">
        <v>165</v>
      </c>
      <c r="H207" s="62">
        <v>1218</v>
      </c>
      <c r="I207" s="63">
        <f t="shared" si="11"/>
        <v>3857</v>
      </c>
      <c r="J207" s="59" t="str">
        <f t="shared" si="12"/>
        <v>שבת</v>
      </c>
      <c r="K207" s="64">
        <f t="shared" si="13"/>
        <v>44260</v>
      </c>
      <c r="L207" s="59">
        <f>VLOOKUP(WEEKDAY(A207),'[1]נתונים נוספים'!$C$4:$J$6,VLOOKUP('חתירה למטרה 2'!D207,'[1]נתונים נוספים'!$M$9:$N$15,2,FALSE),TRUE)*'חתירה למטרה 2'!I207</f>
        <v>96.425000000000011</v>
      </c>
    </row>
    <row r="208" spans="1:12" x14ac:dyDescent="0.25">
      <c r="A208" s="60">
        <v>44107</v>
      </c>
      <c r="B208" s="61" t="s">
        <v>162</v>
      </c>
      <c r="C208" s="61" t="s">
        <v>176</v>
      </c>
      <c r="D208" s="61" t="s">
        <v>177</v>
      </c>
      <c r="E208" s="61">
        <v>899</v>
      </c>
      <c r="F208" s="61">
        <v>24</v>
      </c>
      <c r="G208" s="61" t="s">
        <v>183</v>
      </c>
      <c r="H208" s="62">
        <v>4530.96</v>
      </c>
      <c r="I208" s="63">
        <f t="shared" si="11"/>
        <v>17045.04</v>
      </c>
      <c r="J208" s="59" t="str">
        <f t="shared" si="12"/>
        <v>שבת</v>
      </c>
      <c r="K208" s="64">
        <f t="shared" si="13"/>
        <v>44197</v>
      </c>
      <c r="L208" s="59">
        <f>VLOOKUP(WEEKDAY(A208),'[1]נתונים נוספים'!$C$4:$J$6,VLOOKUP('חתירה למטרה 2'!D208,'[1]נתונים נוספים'!$M$9:$N$15,2,FALSE),TRUE)*'חתירה למטרה 2'!I208</f>
        <v>0</v>
      </c>
    </row>
    <row r="209" spans="1:12" x14ac:dyDescent="0.25">
      <c r="A209" s="60">
        <v>44221</v>
      </c>
      <c r="B209" s="61" t="s">
        <v>101</v>
      </c>
      <c r="C209" s="61" t="s">
        <v>167</v>
      </c>
      <c r="D209" s="61" t="s">
        <v>160</v>
      </c>
      <c r="E209" s="61">
        <v>149</v>
      </c>
      <c r="F209" s="61">
        <v>26</v>
      </c>
      <c r="G209" s="61" t="s">
        <v>161</v>
      </c>
      <c r="H209" s="62">
        <v>929.76</v>
      </c>
      <c r="I209" s="63">
        <f t="shared" si="11"/>
        <v>2944.24</v>
      </c>
      <c r="J209" s="59" t="str">
        <f t="shared" si="12"/>
        <v>יום שני</v>
      </c>
      <c r="K209" s="64">
        <f t="shared" si="13"/>
        <v>44241</v>
      </c>
      <c r="L209" s="59">
        <f>VLOOKUP(WEEKDAY(A209),'[1]נתונים נוספים'!$C$4:$J$6,VLOOKUP('חתירה למטרה 2'!D209,'[1]נתונים נוספים'!$M$9:$N$15,2,FALSE),TRUE)*'חתירה למטרה 2'!I209</f>
        <v>88.327199999999991</v>
      </c>
    </row>
    <row r="210" spans="1:12" x14ac:dyDescent="0.25">
      <c r="A210" s="60">
        <v>44157</v>
      </c>
      <c r="B210" s="61" t="s">
        <v>162</v>
      </c>
      <c r="C210" s="61" t="s">
        <v>182</v>
      </c>
      <c r="D210" s="61" t="s">
        <v>177</v>
      </c>
      <c r="E210" s="61">
        <v>59</v>
      </c>
      <c r="F210" s="61">
        <v>29</v>
      </c>
      <c r="G210" s="61" t="s">
        <v>183</v>
      </c>
      <c r="H210" s="62">
        <v>359.31</v>
      </c>
      <c r="I210" s="63">
        <f t="shared" si="11"/>
        <v>1351.69</v>
      </c>
      <c r="J210" s="59" t="str">
        <f t="shared" si="12"/>
        <v>יום ראשון</v>
      </c>
      <c r="K210" s="64">
        <f t="shared" si="13"/>
        <v>44247</v>
      </c>
      <c r="L210" s="59">
        <f>VLOOKUP(WEEKDAY(A210),'[1]נתונים נוספים'!$C$4:$J$6,VLOOKUP('חתירה למטרה 2'!D210,'[1]נתונים נוספים'!$M$9:$N$15,2,FALSE),TRUE)*'חתירה למטרה 2'!I210</f>
        <v>27.033800000000003</v>
      </c>
    </row>
    <row r="211" spans="1:12" x14ac:dyDescent="0.25">
      <c r="A211" s="60">
        <v>44311</v>
      </c>
      <c r="B211" s="61" t="s">
        <v>162</v>
      </c>
      <c r="C211" s="61" t="s">
        <v>186</v>
      </c>
      <c r="D211" s="61" t="s">
        <v>173</v>
      </c>
      <c r="E211" s="61">
        <v>399</v>
      </c>
      <c r="F211" s="61">
        <v>4</v>
      </c>
      <c r="G211" s="61" t="s">
        <v>168</v>
      </c>
      <c r="H211" s="62">
        <v>79.800000000000011</v>
      </c>
      <c r="I211" s="63">
        <f t="shared" si="11"/>
        <v>1516.2</v>
      </c>
      <c r="J211" s="59" t="str">
        <f t="shared" si="12"/>
        <v>יום ראשון</v>
      </c>
      <c r="K211" s="64">
        <f t="shared" si="13"/>
        <v>44401</v>
      </c>
      <c r="L211" s="59">
        <f>VLOOKUP(WEEKDAY(A211),'[1]נתונים נוספים'!$C$4:$J$6,VLOOKUP('חתירה למטרה 2'!D211,'[1]נתונים נוספים'!$M$9:$N$15,2,FALSE),TRUE)*'חתירה למטרה 2'!I211</f>
        <v>75.81</v>
      </c>
    </row>
    <row r="212" spans="1:12" x14ac:dyDescent="0.25">
      <c r="A212" s="60">
        <v>44199</v>
      </c>
      <c r="B212" s="61" t="s">
        <v>82</v>
      </c>
      <c r="C212" s="61" t="s">
        <v>208</v>
      </c>
      <c r="D212" s="61" t="s">
        <v>209</v>
      </c>
      <c r="E212" s="61">
        <v>199</v>
      </c>
      <c r="F212" s="61">
        <v>13</v>
      </c>
      <c r="G212" s="61" t="s">
        <v>199</v>
      </c>
      <c r="H212" s="62">
        <v>284.57</v>
      </c>
      <c r="I212" s="63">
        <f t="shared" si="11"/>
        <v>2302.4299999999998</v>
      </c>
      <c r="J212" s="59" t="str">
        <f t="shared" si="12"/>
        <v>יום ראשון</v>
      </c>
      <c r="K212" s="64">
        <f t="shared" si="13"/>
        <v>44219</v>
      </c>
      <c r="L212" s="59">
        <f>VLOOKUP(WEEKDAY(A212),'[1]נתונים נוספים'!$C$4:$J$6,VLOOKUP('חתירה למטרה 2'!D212,'[1]נתונים נוספים'!$M$9:$N$15,2,FALSE),TRUE)*'חתירה למטרה 2'!I212</f>
        <v>0</v>
      </c>
    </row>
    <row r="213" spans="1:12" x14ac:dyDescent="0.25">
      <c r="A213" s="60">
        <v>44218</v>
      </c>
      <c r="B213" s="61" t="s">
        <v>162</v>
      </c>
      <c r="C213" s="61" t="s">
        <v>169</v>
      </c>
      <c r="D213" s="61" t="s">
        <v>160</v>
      </c>
      <c r="E213" s="61">
        <v>229</v>
      </c>
      <c r="F213" s="61">
        <v>6</v>
      </c>
      <c r="G213" s="61" t="s">
        <v>189</v>
      </c>
      <c r="H213" s="62">
        <v>219.84</v>
      </c>
      <c r="I213" s="63">
        <f t="shared" si="11"/>
        <v>1154.1600000000001</v>
      </c>
      <c r="J213" s="59" t="str">
        <f t="shared" si="12"/>
        <v>יום שישי</v>
      </c>
      <c r="K213" s="64">
        <f t="shared" si="13"/>
        <v>44308</v>
      </c>
      <c r="L213" s="59">
        <f>VLOOKUP(WEEKDAY(A213),'[1]נתונים נוספים'!$C$4:$J$6,VLOOKUP('חתירה למטרה 2'!D213,'[1]נתונים נוספים'!$M$9:$N$15,2,FALSE),TRUE)*'חתירה למטרה 2'!I213</f>
        <v>0</v>
      </c>
    </row>
    <row r="214" spans="1:12" x14ac:dyDescent="0.25">
      <c r="A214" s="60">
        <v>44136</v>
      </c>
      <c r="B214" s="61" t="s">
        <v>101</v>
      </c>
      <c r="C214" s="61" t="s">
        <v>202</v>
      </c>
      <c r="D214" s="61" t="s">
        <v>177</v>
      </c>
      <c r="E214" s="61">
        <v>599</v>
      </c>
      <c r="F214" s="61">
        <v>24</v>
      </c>
      <c r="G214" s="61" t="s">
        <v>174</v>
      </c>
      <c r="H214" s="62">
        <v>1581.36</v>
      </c>
      <c r="I214" s="63">
        <f t="shared" si="11"/>
        <v>12794.64</v>
      </c>
      <c r="J214" s="59" t="str">
        <f t="shared" si="12"/>
        <v>יום ראשון</v>
      </c>
      <c r="K214" s="64">
        <f t="shared" si="13"/>
        <v>44176</v>
      </c>
      <c r="L214" s="59">
        <f>VLOOKUP(WEEKDAY(A214),'[1]נתונים נוספים'!$C$4:$J$6,VLOOKUP('חתירה למטרה 2'!D214,'[1]נתונים נוספים'!$M$9:$N$15,2,FALSE),TRUE)*'חתירה למטרה 2'!I214</f>
        <v>255.89279999999999</v>
      </c>
    </row>
    <row r="215" spans="1:12" x14ac:dyDescent="0.25">
      <c r="A215" s="60">
        <v>44269</v>
      </c>
      <c r="B215" s="61" t="s">
        <v>82</v>
      </c>
      <c r="C215" s="61" t="s">
        <v>167</v>
      </c>
      <c r="D215" s="61" t="s">
        <v>160</v>
      </c>
      <c r="E215" s="61">
        <v>149</v>
      </c>
      <c r="F215" s="61">
        <v>12</v>
      </c>
      <c r="G215" s="61" t="s">
        <v>181</v>
      </c>
      <c r="H215" s="62">
        <v>375.47999999999996</v>
      </c>
      <c r="I215" s="63">
        <f t="shared" si="11"/>
        <v>1412.52</v>
      </c>
      <c r="J215" s="59" t="str">
        <f t="shared" si="12"/>
        <v>יום ראשון</v>
      </c>
      <c r="K215" s="64">
        <f t="shared" si="13"/>
        <v>44289</v>
      </c>
      <c r="L215" s="59">
        <f>VLOOKUP(WEEKDAY(A215),'[1]נתונים נוספים'!$C$4:$J$6,VLOOKUP('חתירה למטרה 2'!D215,'[1]נתונים נוספים'!$M$9:$N$15,2,FALSE),TRUE)*'חתירה למטרה 2'!I215</f>
        <v>42.375599999999999</v>
      </c>
    </row>
    <row r="216" spans="1:12" x14ac:dyDescent="0.25">
      <c r="A216" s="60">
        <v>44108</v>
      </c>
      <c r="B216" s="61" t="s">
        <v>162</v>
      </c>
      <c r="C216" s="61" t="s">
        <v>208</v>
      </c>
      <c r="D216" s="61" t="s">
        <v>209</v>
      </c>
      <c r="E216" s="61">
        <v>199</v>
      </c>
      <c r="F216" s="61">
        <v>7</v>
      </c>
      <c r="G216" s="61" t="s">
        <v>168</v>
      </c>
      <c r="H216" s="62">
        <v>153.22999999999999</v>
      </c>
      <c r="I216" s="63">
        <f t="shared" si="11"/>
        <v>1239.77</v>
      </c>
      <c r="J216" s="59" t="str">
        <f t="shared" si="12"/>
        <v>יום ראשון</v>
      </c>
      <c r="K216" s="64">
        <f t="shared" si="13"/>
        <v>44198</v>
      </c>
      <c r="L216" s="59">
        <f>VLOOKUP(WEEKDAY(A216),'[1]נתונים נוספים'!$C$4:$J$6,VLOOKUP('חתירה למטרה 2'!D216,'[1]נתונים נוספים'!$M$9:$N$15,2,FALSE),TRUE)*'חתירה למטרה 2'!I216</f>
        <v>0</v>
      </c>
    </row>
    <row r="217" spans="1:12" x14ac:dyDescent="0.25">
      <c r="A217" s="60">
        <v>44213</v>
      </c>
      <c r="B217" s="61" t="s">
        <v>82</v>
      </c>
      <c r="C217" s="61" t="s">
        <v>208</v>
      </c>
      <c r="D217" s="61" t="s">
        <v>209</v>
      </c>
      <c r="E217" s="61">
        <v>199</v>
      </c>
      <c r="F217" s="61">
        <v>30</v>
      </c>
      <c r="G217" s="61" t="s">
        <v>181</v>
      </c>
      <c r="H217" s="62">
        <v>1492.5</v>
      </c>
      <c r="I217" s="63">
        <f t="shared" si="11"/>
        <v>4477.5</v>
      </c>
      <c r="J217" s="59" t="str">
        <f t="shared" si="12"/>
        <v>יום ראשון</v>
      </c>
      <c r="K217" s="64">
        <f t="shared" si="13"/>
        <v>44233</v>
      </c>
      <c r="L217" s="59">
        <f>VLOOKUP(WEEKDAY(A217),'[1]נתונים נוספים'!$C$4:$J$6,VLOOKUP('חתירה למטרה 2'!D217,'[1]נתונים נוספים'!$M$9:$N$15,2,FALSE),TRUE)*'חתירה למטרה 2'!I217</f>
        <v>0</v>
      </c>
    </row>
    <row r="218" spans="1:12" x14ac:dyDescent="0.25">
      <c r="A218" s="60">
        <v>44039</v>
      </c>
      <c r="B218" s="61" t="s">
        <v>162</v>
      </c>
      <c r="C218" s="61" t="s">
        <v>182</v>
      </c>
      <c r="D218" s="61" t="s">
        <v>177</v>
      </c>
      <c r="E218" s="61">
        <v>59</v>
      </c>
      <c r="F218" s="61">
        <v>7</v>
      </c>
      <c r="G218" s="61" t="s">
        <v>183</v>
      </c>
      <c r="H218" s="62">
        <v>82.600000000000009</v>
      </c>
      <c r="I218" s="63">
        <f t="shared" si="11"/>
        <v>330.4</v>
      </c>
      <c r="J218" s="59" t="str">
        <f t="shared" si="12"/>
        <v>יום שני</v>
      </c>
      <c r="K218" s="64">
        <f t="shared" si="13"/>
        <v>44129</v>
      </c>
      <c r="L218" s="59">
        <f>VLOOKUP(WEEKDAY(A218),'[1]נתונים נוספים'!$C$4:$J$6,VLOOKUP('חתירה למטרה 2'!D218,'[1]נתונים נוספים'!$M$9:$N$15,2,FALSE),TRUE)*'חתירה למטרה 2'!I218</f>
        <v>6.6079999999999997</v>
      </c>
    </row>
    <row r="219" spans="1:12" x14ac:dyDescent="0.25">
      <c r="A219" s="60">
        <v>44231</v>
      </c>
      <c r="B219" s="61" t="s">
        <v>162</v>
      </c>
      <c r="C219" s="61" t="s">
        <v>171</v>
      </c>
      <c r="D219" s="61" t="s">
        <v>164</v>
      </c>
      <c r="E219" s="61">
        <v>119</v>
      </c>
      <c r="F219" s="61">
        <v>6</v>
      </c>
      <c r="G219" s="61" t="s">
        <v>168</v>
      </c>
      <c r="H219" s="62">
        <v>142.80000000000001</v>
      </c>
      <c r="I219" s="63">
        <f t="shared" si="11"/>
        <v>571.20000000000005</v>
      </c>
      <c r="J219" s="59" t="str">
        <f t="shared" si="12"/>
        <v>יום חמישי</v>
      </c>
      <c r="K219" s="64">
        <f t="shared" si="13"/>
        <v>44321</v>
      </c>
      <c r="L219" s="59">
        <f>VLOOKUP(WEEKDAY(A219),'[1]נתונים נוספים'!$C$4:$J$6,VLOOKUP('חתירה למטרה 2'!D219,'[1]נתונים נוספים'!$M$9:$N$15,2,FALSE),TRUE)*'חתירה למטרה 2'!I219</f>
        <v>45.696000000000005</v>
      </c>
    </row>
    <row r="220" spans="1:12" x14ac:dyDescent="0.25">
      <c r="A220" s="60">
        <v>44192</v>
      </c>
      <c r="B220" s="61" t="s">
        <v>162</v>
      </c>
      <c r="C220" s="61" t="s">
        <v>208</v>
      </c>
      <c r="D220" s="61" t="s">
        <v>209</v>
      </c>
      <c r="E220" s="61">
        <v>199</v>
      </c>
      <c r="F220" s="61">
        <v>33</v>
      </c>
      <c r="G220" s="61" t="s">
        <v>189</v>
      </c>
      <c r="H220" s="62">
        <v>394.02</v>
      </c>
      <c r="I220" s="63">
        <f t="shared" si="11"/>
        <v>6172.98</v>
      </c>
      <c r="J220" s="59" t="str">
        <f t="shared" si="12"/>
        <v>יום ראשון</v>
      </c>
      <c r="K220" s="64">
        <f t="shared" si="13"/>
        <v>44282</v>
      </c>
      <c r="L220" s="59">
        <f>VLOOKUP(WEEKDAY(A220),'[1]נתונים נוספים'!$C$4:$J$6,VLOOKUP('חתירה למטרה 2'!D220,'[1]נתונים נוספים'!$M$9:$N$15,2,FALSE),TRUE)*'חתירה למטרה 2'!I220</f>
        <v>0</v>
      </c>
    </row>
    <row r="221" spans="1:12" x14ac:dyDescent="0.25">
      <c r="A221" s="60">
        <v>44261</v>
      </c>
      <c r="B221" s="61" t="s">
        <v>162</v>
      </c>
      <c r="C221" s="61" t="s">
        <v>163</v>
      </c>
      <c r="D221" s="61" t="s">
        <v>164</v>
      </c>
      <c r="E221" s="61">
        <v>139</v>
      </c>
      <c r="F221" s="61">
        <v>17</v>
      </c>
      <c r="G221" s="61" t="s">
        <v>183</v>
      </c>
      <c r="H221" s="62">
        <v>519.86</v>
      </c>
      <c r="I221" s="63">
        <f t="shared" si="11"/>
        <v>1843.1399999999999</v>
      </c>
      <c r="J221" s="59" t="str">
        <f t="shared" si="12"/>
        <v>שבת</v>
      </c>
      <c r="K221" s="64">
        <f t="shared" si="13"/>
        <v>44351</v>
      </c>
      <c r="L221" s="59">
        <f>VLOOKUP(WEEKDAY(A221),'[1]נתונים נוספים'!$C$4:$J$6,VLOOKUP('חתירה למטרה 2'!D221,'[1]נתונים נוספים'!$M$9:$N$15,2,FALSE),TRUE)*'חתירה למטרה 2'!I221</f>
        <v>101.37269999999999</v>
      </c>
    </row>
    <row r="222" spans="1:12" x14ac:dyDescent="0.25">
      <c r="A222" s="60">
        <v>44297</v>
      </c>
      <c r="B222" s="61" t="s">
        <v>178</v>
      </c>
      <c r="C222" s="61" t="s">
        <v>163</v>
      </c>
      <c r="D222" s="61" t="s">
        <v>164</v>
      </c>
      <c r="E222" s="61">
        <v>139</v>
      </c>
      <c r="F222" s="61">
        <v>16</v>
      </c>
      <c r="G222" s="65" t="s">
        <v>216</v>
      </c>
      <c r="H222" s="62">
        <v>444.8</v>
      </c>
      <c r="I222" s="63">
        <f t="shared" si="11"/>
        <v>1779.2</v>
      </c>
      <c r="J222" s="59" t="str">
        <f t="shared" si="12"/>
        <v>יום ראשון</v>
      </c>
      <c r="K222" s="64">
        <f t="shared" si="13"/>
        <v>44327</v>
      </c>
      <c r="L222" s="59">
        <f>VLOOKUP(WEEKDAY(A222),'[1]נתונים נוספים'!$C$4:$J$6,VLOOKUP('חתירה למטרה 2'!D222,'[1]נתונים נוספים'!$M$9:$N$15,2,FALSE),TRUE)*'חתירה למטרה 2'!I222</f>
        <v>0</v>
      </c>
    </row>
    <row r="223" spans="1:12" x14ac:dyDescent="0.25">
      <c r="A223" s="60">
        <v>44130</v>
      </c>
      <c r="B223" s="61" t="s">
        <v>101</v>
      </c>
      <c r="C223" s="61" t="s">
        <v>163</v>
      </c>
      <c r="D223" s="61" t="s">
        <v>164</v>
      </c>
      <c r="E223" s="61">
        <v>139</v>
      </c>
      <c r="F223" s="61">
        <v>3</v>
      </c>
      <c r="G223" s="61" t="s">
        <v>161</v>
      </c>
      <c r="H223" s="62">
        <v>29.19</v>
      </c>
      <c r="I223" s="63">
        <f t="shared" si="11"/>
        <v>387.81</v>
      </c>
      <c r="J223" s="59" t="str">
        <f t="shared" si="12"/>
        <v>יום שני</v>
      </c>
      <c r="K223" s="64">
        <f t="shared" si="13"/>
        <v>44170</v>
      </c>
      <c r="L223" s="59">
        <f>VLOOKUP(WEEKDAY(A223),'[1]נתונים נוספים'!$C$4:$J$6,VLOOKUP('חתירה למטרה 2'!D223,'[1]נתונים נוספים'!$M$9:$N$15,2,FALSE),TRUE)*'חתירה למטרה 2'!I223</f>
        <v>0</v>
      </c>
    </row>
    <row r="224" spans="1:12" x14ac:dyDescent="0.25">
      <c r="A224" s="60">
        <v>44026</v>
      </c>
      <c r="B224" s="61" t="s">
        <v>162</v>
      </c>
      <c r="C224" s="61" t="s">
        <v>200</v>
      </c>
      <c r="D224" s="61" t="s">
        <v>177</v>
      </c>
      <c r="E224" s="61">
        <v>350</v>
      </c>
      <c r="F224" s="61">
        <v>10</v>
      </c>
      <c r="G224" s="61" t="s">
        <v>168</v>
      </c>
      <c r="H224" s="62">
        <v>805</v>
      </c>
      <c r="I224" s="63">
        <f t="shared" si="11"/>
        <v>2695</v>
      </c>
      <c r="J224" s="59" t="str">
        <f t="shared" si="12"/>
        <v>יום שלישי</v>
      </c>
      <c r="K224" s="64">
        <f t="shared" si="13"/>
        <v>44116</v>
      </c>
      <c r="L224" s="59">
        <f>VLOOKUP(WEEKDAY(A224),'[1]נתונים נוספים'!$C$4:$J$6,VLOOKUP('חתירה למטרה 2'!D224,'[1]נתונים נוספים'!$M$9:$N$15,2,FALSE),TRUE)*'חתירה למטרה 2'!I224</f>
        <v>53.9</v>
      </c>
    </row>
    <row r="225" spans="1:12" x14ac:dyDescent="0.25">
      <c r="A225" s="60">
        <v>44298</v>
      </c>
      <c r="B225" s="61" t="s">
        <v>162</v>
      </c>
      <c r="C225" s="61" t="s">
        <v>176</v>
      </c>
      <c r="D225" s="61" t="s">
        <v>177</v>
      </c>
      <c r="E225" s="61">
        <v>899</v>
      </c>
      <c r="F225" s="61">
        <v>1</v>
      </c>
      <c r="G225" s="61" t="s">
        <v>189</v>
      </c>
      <c r="H225" s="62">
        <v>71.92</v>
      </c>
      <c r="I225" s="63">
        <f t="shared" si="11"/>
        <v>827.08</v>
      </c>
      <c r="J225" s="59" t="str">
        <f t="shared" si="12"/>
        <v>יום שני</v>
      </c>
      <c r="K225" s="64">
        <f t="shared" si="13"/>
        <v>44388</v>
      </c>
      <c r="L225" s="59">
        <f>VLOOKUP(WEEKDAY(A225),'[1]נתונים נוספים'!$C$4:$J$6,VLOOKUP('חתירה למטרה 2'!D225,'[1]נתונים נוספים'!$M$9:$N$15,2,FALSE),TRUE)*'חתירה למטרה 2'!I225</f>
        <v>16.541600000000003</v>
      </c>
    </row>
    <row r="226" spans="1:12" x14ac:dyDescent="0.25">
      <c r="A226" s="60">
        <v>44085</v>
      </c>
      <c r="B226" s="61" t="s">
        <v>162</v>
      </c>
      <c r="C226" s="61" t="s">
        <v>159</v>
      </c>
      <c r="D226" s="61" t="s">
        <v>160</v>
      </c>
      <c r="E226" s="61">
        <v>299</v>
      </c>
      <c r="F226" s="61">
        <v>19</v>
      </c>
      <c r="G226" s="61" t="s">
        <v>189</v>
      </c>
      <c r="H226" s="62">
        <v>795.34</v>
      </c>
      <c r="I226" s="63">
        <f t="shared" si="11"/>
        <v>4885.66</v>
      </c>
      <c r="J226" s="59" t="str">
        <f t="shared" si="12"/>
        <v>יום שישי</v>
      </c>
      <c r="K226" s="64">
        <f t="shared" si="13"/>
        <v>44175</v>
      </c>
      <c r="L226" s="59">
        <f>VLOOKUP(WEEKDAY(A226),'[1]נתונים נוספים'!$C$4:$J$6,VLOOKUP('חתירה למטרה 2'!D226,'[1]נתונים נוספים'!$M$9:$N$15,2,FALSE),TRUE)*'חתירה למטרה 2'!I226</f>
        <v>0</v>
      </c>
    </row>
    <row r="227" spans="1:12" x14ac:dyDescent="0.25">
      <c r="A227" s="60">
        <v>44155</v>
      </c>
      <c r="B227" s="61" t="s">
        <v>101</v>
      </c>
      <c r="C227" s="61" t="s">
        <v>185</v>
      </c>
      <c r="D227" s="61" t="s">
        <v>177</v>
      </c>
      <c r="E227" s="61">
        <v>95</v>
      </c>
      <c r="F227" s="61">
        <v>28</v>
      </c>
      <c r="G227" s="61" t="s">
        <v>174</v>
      </c>
      <c r="H227" s="62">
        <v>399</v>
      </c>
      <c r="I227" s="63">
        <f t="shared" si="11"/>
        <v>2261</v>
      </c>
      <c r="J227" s="59" t="str">
        <f t="shared" si="12"/>
        <v>יום שישי</v>
      </c>
      <c r="K227" s="64">
        <f t="shared" si="13"/>
        <v>44195</v>
      </c>
      <c r="L227" s="59">
        <f>VLOOKUP(WEEKDAY(A227),'[1]נתונים נוספים'!$C$4:$J$6,VLOOKUP('חתירה למטרה 2'!D227,'[1]נתונים נוספים'!$M$9:$N$15,2,FALSE),TRUE)*'חתירה למטרה 2'!I227</f>
        <v>0</v>
      </c>
    </row>
    <row r="228" spans="1:12" x14ac:dyDescent="0.25">
      <c r="A228" s="60">
        <v>44206</v>
      </c>
      <c r="B228" s="61" t="s">
        <v>175</v>
      </c>
      <c r="C228" s="61" t="s">
        <v>198</v>
      </c>
      <c r="D228" s="61" t="s">
        <v>180</v>
      </c>
      <c r="E228" s="61">
        <v>629</v>
      </c>
      <c r="F228" s="61">
        <v>21</v>
      </c>
      <c r="G228" s="61" t="s">
        <v>192</v>
      </c>
      <c r="H228" s="62">
        <v>2509.71</v>
      </c>
      <c r="I228" s="63">
        <f t="shared" si="11"/>
        <v>10699.29</v>
      </c>
      <c r="J228" s="59" t="str">
        <f t="shared" si="12"/>
        <v>יום ראשון</v>
      </c>
      <c r="K228" s="64">
        <f t="shared" si="13"/>
        <v>44226</v>
      </c>
      <c r="L228" s="59">
        <f>VLOOKUP(WEEKDAY(A228),'[1]נתונים נוספים'!$C$4:$J$6,VLOOKUP('חתירה למטרה 2'!D228,'[1]נתונים נוספים'!$M$9:$N$15,2,FALSE),TRUE)*'חתירה למטרה 2'!I228</f>
        <v>534.96450000000004</v>
      </c>
    </row>
    <row r="229" spans="1:12" x14ac:dyDescent="0.25">
      <c r="A229" s="60">
        <v>44268</v>
      </c>
      <c r="B229" s="61" t="s">
        <v>162</v>
      </c>
      <c r="C229" s="61" t="s">
        <v>186</v>
      </c>
      <c r="D229" s="61" t="s">
        <v>173</v>
      </c>
      <c r="E229" s="61">
        <v>399</v>
      </c>
      <c r="F229" s="61">
        <v>25</v>
      </c>
      <c r="G229" s="61" t="s">
        <v>168</v>
      </c>
      <c r="H229" s="62">
        <v>1496.25</v>
      </c>
      <c r="I229" s="63">
        <f t="shared" si="11"/>
        <v>8478.75</v>
      </c>
      <c r="J229" s="59" t="str">
        <f t="shared" si="12"/>
        <v>שבת</v>
      </c>
      <c r="K229" s="64">
        <f t="shared" si="13"/>
        <v>44358</v>
      </c>
      <c r="L229" s="59">
        <f>VLOOKUP(WEEKDAY(A229),'[1]נתונים נוספים'!$C$4:$J$6,VLOOKUP('חתירה למטרה 2'!D229,'[1]נתונים נוספים'!$M$9:$N$15,2,FALSE),TRUE)*'חתירה למטרה 2'!I229</f>
        <v>211.96875</v>
      </c>
    </row>
    <row r="230" spans="1:12" x14ac:dyDescent="0.25">
      <c r="A230" s="60">
        <v>44120</v>
      </c>
      <c r="B230" s="61" t="s">
        <v>101</v>
      </c>
      <c r="C230" s="61" t="s">
        <v>171</v>
      </c>
      <c r="D230" s="61" t="s">
        <v>164</v>
      </c>
      <c r="E230" s="61">
        <v>119</v>
      </c>
      <c r="F230" s="61">
        <v>33</v>
      </c>
      <c r="G230" s="61" t="s">
        <v>188</v>
      </c>
      <c r="H230" s="62">
        <v>863.94</v>
      </c>
      <c r="I230" s="63">
        <f t="shared" si="11"/>
        <v>3063.06</v>
      </c>
      <c r="J230" s="59" t="str">
        <f t="shared" si="12"/>
        <v>יום שישי</v>
      </c>
      <c r="K230" s="64">
        <f t="shared" si="13"/>
        <v>44160</v>
      </c>
      <c r="L230" s="59">
        <f>VLOOKUP(WEEKDAY(A230),'[1]נתונים נוספים'!$C$4:$J$6,VLOOKUP('חתירה למטרה 2'!D230,'[1]נתונים נוספים'!$M$9:$N$15,2,FALSE),TRUE)*'חתירה למטרה 2'!I230</f>
        <v>168.4683</v>
      </c>
    </row>
    <row r="231" spans="1:12" x14ac:dyDescent="0.25">
      <c r="A231" s="60">
        <v>44021</v>
      </c>
      <c r="B231" s="61" t="s">
        <v>162</v>
      </c>
      <c r="C231" s="61" t="s">
        <v>186</v>
      </c>
      <c r="D231" s="61" t="s">
        <v>173</v>
      </c>
      <c r="E231" s="61">
        <v>399</v>
      </c>
      <c r="F231" s="61">
        <v>1</v>
      </c>
      <c r="G231" s="61" t="s">
        <v>183</v>
      </c>
      <c r="H231" s="62">
        <v>23.939999999999998</v>
      </c>
      <c r="I231" s="63">
        <f t="shared" si="11"/>
        <v>375.06</v>
      </c>
      <c r="J231" s="59" t="str">
        <f t="shared" si="12"/>
        <v>יום חמישי</v>
      </c>
      <c r="K231" s="64">
        <f t="shared" si="13"/>
        <v>44111</v>
      </c>
      <c r="L231" s="59">
        <f>VLOOKUP(WEEKDAY(A231),'[1]נתונים נוספים'!$C$4:$J$6,VLOOKUP('חתירה למטרה 2'!D231,'[1]נתונים נוספים'!$M$9:$N$15,2,FALSE),TRUE)*'חתירה למטרה 2'!I231</f>
        <v>0</v>
      </c>
    </row>
    <row r="232" spans="1:12" x14ac:dyDescent="0.25">
      <c r="A232" s="60">
        <v>44277</v>
      </c>
      <c r="B232" s="61" t="s">
        <v>82</v>
      </c>
      <c r="C232" s="61" t="s">
        <v>169</v>
      </c>
      <c r="D232" s="61" t="s">
        <v>160</v>
      </c>
      <c r="E232" s="61">
        <v>229</v>
      </c>
      <c r="F232" s="61">
        <v>10</v>
      </c>
      <c r="G232" s="61" t="s">
        <v>199</v>
      </c>
      <c r="H232" s="62">
        <v>526.70000000000005</v>
      </c>
      <c r="I232" s="63">
        <f t="shared" si="11"/>
        <v>1763.3</v>
      </c>
      <c r="J232" s="59" t="str">
        <f t="shared" si="12"/>
        <v>יום שני</v>
      </c>
      <c r="K232" s="64">
        <f t="shared" si="13"/>
        <v>44297</v>
      </c>
      <c r="L232" s="59">
        <f>VLOOKUP(WEEKDAY(A232),'[1]נתונים נוספים'!$C$4:$J$6,VLOOKUP('חתירה למטרה 2'!D232,'[1]נתונים נוספים'!$M$9:$N$15,2,FALSE),TRUE)*'חתירה למטרה 2'!I232</f>
        <v>52.898999999999994</v>
      </c>
    </row>
    <row r="233" spans="1:12" x14ac:dyDescent="0.25">
      <c r="A233" s="60">
        <v>44344</v>
      </c>
      <c r="B233" s="61" t="s">
        <v>101</v>
      </c>
      <c r="C233" s="61" t="s">
        <v>190</v>
      </c>
      <c r="D233" s="61" t="s">
        <v>191</v>
      </c>
      <c r="E233" s="61">
        <v>280</v>
      </c>
      <c r="F233" s="61">
        <v>13</v>
      </c>
      <c r="G233" s="61" t="s">
        <v>188</v>
      </c>
      <c r="H233" s="62">
        <v>254.8</v>
      </c>
      <c r="I233" s="63">
        <f t="shared" si="11"/>
        <v>3385.2</v>
      </c>
      <c r="J233" s="59" t="str">
        <f t="shared" si="12"/>
        <v>יום שישי</v>
      </c>
      <c r="K233" s="64">
        <f t="shared" si="13"/>
        <v>44374</v>
      </c>
      <c r="L233" s="59">
        <f>VLOOKUP(WEEKDAY(A233),'[1]נתונים נוספים'!$C$4:$J$6,VLOOKUP('חתירה למטרה 2'!D233,'[1]נתונים נוספים'!$M$9:$N$15,2,FALSE),TRUE)*'חתירה למטרה 2'!I233</f>
        <v>118.482</v>
      </c>
    </row>
    <row r="234" spans="1:12" x14ac:dyDescent="0.25">
      <c r="A234" s="60">
        <v>44211</v>
      </c>
      <c r="B234" s="61" t="s">
        <v>82</v>
      </c>
      <c r="C234" s="61" t="s">
        <v>172</v>
      </c>
      <c r="D234" s="61" t="s">
        <v>173</v>
      </c>
      <c r="E234" s="61">
        <v>175</v>
      </c>
      <c r="F234" s="61">
        <v>9</v>
      </c>
      <c r="G234" s="61" t="s">
        <v>199</v>
      </c>
      <c r="H234" s="62">
        <v>236.25</v>
      </c>
      <c r="I234" s="63">
        <f t="shared" si="11"/>
        <v>1338.75</v>
      </c>
      <c r="J234" s="59" t="str">
        <f t="shared" si="12"/>
        <v>יום שישי</v>
      </c>
      <c r="K234" s="64">
        <f t="shared" si="13"/>
        <v>44231</v>
      </c>
      <c r="L234" s="59">
        <f>VLOOKUP(WEEKDAY(A234),'[1]נתונים נוספים'!$C$4:$J$6,VLOOKUP('חתירה למטרה 2'!D234,'[1]נתונים נוספים'!$M$9:$N$15,2,FALSE),TRUE)*'חתירה למטרה 2'!I234</f>
        <v>33.46875</v>
      </c>
    </row>
    <row r="235" spans="1:12" x14ac:dyDescent="0.25">
      <c r="A235" s="60">
        <v>44114</v>
      </c>
      <c r="B235" s="61" t="s">
        <v>162</v>
      </c>
      <c r="C235" s="61" t="s">
        <v>169</v>
      </c>
      <c r="D235" s="61" t="s">
        <v>160</v>
      </c>
      <c r="E235" s="61">
        <v>229</v>
      </c>
      <c r="F235" s="61">
        <v>10</v>
      </c>
      <c r="G235" s="61" t="s">
        <v>189</v>
      </c>
      <c r="H235" s="62">
        <v>183.20000000000002</v>
      </c>
      <c r="I235" s="63">
        <f t="shared" si="11"/>
        <v>2106.8000000000002</v>
      </c>
      <c r="J235" s="59" t="str">
        <f t="shared" si="12"/>
        <v>שבת</v>
      </c>
      <c r="K235" s="64">
        <f t="shared" si="13"/>
        <v>44204</v>
      </c>
      <c r="L235" s="59">
        <f>VLOOKUP(WEEKDAY(A235),'[1]נתונים נוספים'!$C$4:$J$6,VLOOKUP('חתירה למטרה 2'!D235,'[1]נתונים נוספים'!$M$9:$N$15,2,FALSE),TRUE)*'חתירה למטרה 2'!I235</f>
        <v>0</v>
      </c>
    </row>
    <row r="236" spans="1:12" x14ac:dyDescent="0.25">
      <c r="A236" s="60">
        <v>44045</v>
      </c>
      <c r="B236" s="61" t="s">
        <v>162</v>
      </c>
      <c r="C236" s="61" t="s">
        <v>194</v>
      </c>
      <c r="D236" s="61" t="s">
        <v>164</v>
      </c>
      <c r="E236" s="61">
        <v>75</v>
      </c>
      <c r="F236" s="61">
        <v>5</v>
      </c>
      <c r="G236" s="61" t="s">
        <v>189</v>
      </c>
      <c r="H236" s="62">
        <v>18.75</v>
      </c>
      <c r="I236" s="63">
        <f t="shared" si="11"/>
        <v>356.25</v>
      </c>
      <c r="J236" s="59" t="str">
        <f t="shared" si="12"/>
        <v>יום ראשון</v>
      </c>
      <c r="K236" s="64">
        <f t="shared" si="13"/>
        <v>44135</v>
      </c>
      <c r="L236" s="59">
        <f>VLOOKUP(WEEKDAY(A236),'[1]נתונים נוספים'!$C$4:$J$6,VLOOKUP('חתירה למטרה 2'!D236,'[1]נתונים נוספים'!$M$9:$N$15,2,FALSE),TRUE)*'חתירה למטרה 2'!I236</f>
        <v>0</v>
      </c>
    </row>
    <row r="237" spans="1:12" x14ac:dyDescent="0.25">
      <c r="A237" s="60">
        <v>44093</v>
      </c>
      <c r="B237" s="61" t="s">
        <v>162</v>
      </c>
      <c r="C237" s="61" t="s">
        <v>182</v>
      </c>
      <c r="D237" s="61" t="s">
        <v>177</v>
      </c>
      <c r="E237" s="61">
        <v>59</v>
      </c>
      <c r="F237" s="61">
        <v>27</v>
      </c>
      <c r="G237" s="61" t="s">
        <v>183</v>
      </c>
      <c r="H237" s="62">
        <v>159.30000000000001</v>
      </c>
      <c r="I237" s="63">
        <f t="shared" si="11"/>
        <v>1433.7</v>
      </c>
      <c r="J237" s="59" t="str">
        <f t="shared" si="12"/>
        <v>שבת</v>
      </c>
      <c r="K237" s="64">
        <f t="shared" si="13"/>
        <v>44183</v>
      </c>
      <c r="L237" s="59">
        <f>VLOOKUP(WEEKDAY(A237),'[1]נתונים נוספים'!$C$4:$J$6,VLOOKUP('חתירה למטרה 2'!D237,'[1]נתונים נוספים'!$M$9:$N$15,2,FALSE),TRUE)*'חתירה למטרה 2'!I237</f>
        <v>0</v>
      </c>
    </row>
    <row r="238" spans="1:12" x14ac:dyDescent="0.25">
      <c r="A238" s="60">
        <v>44203</v>
      </c>
      <c r="B238" s="61" t="s">
        <v>162</v>
      </c>
      <c r="C238" s="61" t="s">
        <v>182</v>
      </c>
      <c r="D238" s="61" t="s">
        <v>177</v>
      </c>
      <c r="E238" s="61">
        <v>59</v>
      </c>
      <c r="F238" s="61">
        <v>19</v>
      </c>
      <c r="G238" s="61" t="s">
        <v>183</v>
      </c>
      <c r="H238" s="62">
        <v>89.68</v>
      </c>
      <c r="I238" s="63">
        <f t="shared" si="11"/>
        <v>1031.32</v>
      </c>
      <c r="J238" s="59" t="str">
        <f t="shared" si="12"/>
        <v>יום חמישי</v>
      </c>
      <c r="K238" s="64">
        <f t="shared" si="13"/>
        <v>44293</v>
      </c>
      <c r="L238" s="59">
        <f>VLOOKUP(WEEKDAY(A238),'[1]נתונים נוספים'!$C$4:$J$6,VLOOKUP('חתירה למטרה 2'!D238,'[1]נתונים נוספים'!$M$9:$N$15,2,FALSE),TRUE)*'חתירה למטרה 2'!I238</f>
        <v>41.252800000000001</v>
      </c>
    </row>
    <row r="239" spans="1:12" x14ac:dyDescent="0.25">
      <c r="A239" s="60">
        <v>44171</v>
      </c>
      <c r="B239" s="61" t="s">
        <v>82</v>
      </c>
      <c r="C239" s="61" t="s">
        <v>208</v>
      </c>
      <c r="D239" s="61" t="s">
        <v>209</v>
      </c>
      <c r="E239" s="61">
        <v>199</v>
      </c>
      <c r="F239" s="61">
        <v>26</v>
      </c>
      <c r="G239" s="61" t="s">
        <v>170</v>
      </c>
      <c r="H239" s="62">
        <v>724.36</v>
      </c>
      <c r="I239" s="63">
        <f t="shared" si="11"/>
        <v>4449.6400000000003</v>
      </c>
      <c r="J239" s="59" t="str">
        <f t="shared" si="12"/>
        <v>יום ראשון</v>
      </c>
      <c r="K239" s="64">
        <f t="shared" si="13"/>
        <v>44221</v>
      </c>
      <c r="L239" s="59">
        <f>VLOOKUP(WEEKDAY(A239),'[1]נתונים נוספים'!$C$4:$J$6,VLOOKUP('חתירה למטרה 2'!D239,'[1]נתונים נוספים'!$M$9:$N$15,2,FALSE),TRUE)*'חתירה למטרה 2'!I239</f>
        <v>0</v>
      </c>
    </row>
    <row r="240" spans="1:12" x14ac:dyDescent="0.25">
      <c r="A240" s="60">
        <v>44140</v>
      </c>
      <c r="B240" s="61" t="s">
        <v>60</v>
      </c>
      <c r="C240" s="61" t="s">
        <v>202</v>
      </c>
      <c r="D240" s="61" t="s">
        <v>177</v>
      </c>
      <c r="E240" s="61">
        <v>599</v>
      </c>
      <c r="F240" s="61">
        <v>6</v>
      </c>
      <c r="G240" s="61" t="s">
        <v>211</v>
      </c>
      <c r="H240" s="62">
        <v>323.45999999999998</v>
      </c>
      <c r="I240" s="63">
        <f t="shared" si="11"/>
        <v>3270.54</v>
      </c>
      <c r="J240" s="59" t="str">
        <f t="shared" si="12"/>
        <v>יום חמישי</v>
      </c>
      <c r="K240" s="64">
        <f t="shared" si="13"/>
        <v>44180</v>
      </c>
      <c r="L240" s="59">
        <f>VLOOKUP(WEEKDAY(A240),'[1]נתונים נוספים'!$C$4:$J$6,VLOOKUP('חתירה למטרה 2'!D240,'[1]נתונים נוספים'!$M$9:$N$15,2,FALSE),TRUE)*'חתירה למטרה 2'!I240</f>
        <v>130.82159999999999</v>
      </c>
    </row>
    <row r="241" spans="1:12" x14ac:dyDescent="0.25">
      <c r="A241" s="60">
        <v>44010</v>
      </c>
      <c r="B241" s="61" t="s">
        <v>82</v>
      </c>
      <c r="C241" s="61" t="s">
        <v>172</v>
      </c>
      <c r="D241" s="61" t="s">
        <v>173</v>
      </c>
      <c r="E241" s="61">
        <v>175</v>
      </c>
      <c r="F241" s="61">
        <v>16</v>
      </c>
      <c r="G241" s="61" t="s">
        <v>197</v>
      </c>
      <c r="H241" s="62">
        <v>448</v>
      </c>
      <c r="I241" s="63">
        <f t="shared" si="11"/>
        <v>2352</v>
      </c>
      <c r="J241" s="59" t="str">
        <f t="shared" si="12"/>
        <v>יום ראשון</v>
      </c>
      <c r="K241" s="64">
        <f t="shared" si="13"/>
        <v>44040</v>
      </c>
      <c r="L241" s="59">
        <f>VLOOKUP(WEEKDAY(A241),'[1]נתונים נוספים'!$C$4:$J$6,VLOOKUP('חתירה למטרה 2'!D241,'[1]נתונים נוספים'!$M$9:$N$15,2,FALSE),TRUE)*'חתירה למטרה 2'!I241</f>
        <v>117.60000000000001</v>
      </c>
    </row>
    <row r="242" spans="1:12" x14ac:dyDescent="0.25">
      <c r="A242" s="60">
        <v>44102</v>
      </c>
      <c r="B242" s="61" t="s">
        <v>162</v>
      </c>
      <c r="C242" s="61" t="s">
        <v>200</v>
      </c>
      <c r="D242" s="61" t="s">
        <v>177</v>
      </c>
      <c r="E242" s="61">
        <v>350</v>
      </c>
      <c r="F242" s="61">
        <v>3</v>
      </c>
      <c r="G242" s="61" t="s">
        <v>189</v>
      </c>
      <c r="H242" s="62">
        <v>52.5</v>
      </c>
      <c r="I242" s="63">
        <f t="shared" si="11"/>
        <v>997.5</v>
      </c>
      <c r="J242" s="59" t="str">
        <f t="shared" si="12"/>
        <v>יום שני</v>
      </c>
      <c r="K242" s="64">
        <f t="shared" si="13"/>
        <v>44192</v>
      </c>
      <c r="L242" s="59">
        <f>VLOOKUP(WEEKDAY(A242),'[1]נתונים נוספים'!$C$4:$J$6,VLOOKUP('חתירה למטרה 2'!D242,'[1]נתונים נוספים'!$M$9:$N$15,2,FALSE),TRUE)*'חתירה למטרה 2'!I242</f>
        <v>19.95</v>
      </c>
    </row>
    <row r="243" spans="1:12" x14ac:dyDescent="0.25">
      <c r="A243" s="60">
        <v>44233</v>
      </c>
      <c r="B243" s="61" t="s">
        <v>162</v>
      </c>
      <c r="C243" s="61" t="s">
        <v>208</v>
      </c>
      <c r="D243" s="61" t="s">
        <v>209</v>
      </c>
      <c r="E243" s="61">
        <v>199</v>
      </c>
      <c r="F243" s="61">
        <v>32</v>
      </c>
      <c r="G243" s="61" t="s">
        <v>165</v>
      </c>
      <c r="H243" s="62">
        <v>1273.6000000000001</v>
      </c>
      <c r="I243" s="63">
        <f t="shared" si="11"/>
        <v>5094.3999999999996</v>
      </c>
      <c r="J243" s="59" t="str">
        <f t="shared" si="12"/>
        <v>שבת</v>
      </c>
      <c r="K243" s="64">
        <f t="shared" si="13"/>
        <v>44323</v>
      </c>
      <c r="L243" s="59">
        <f>VLOOKUP(WEEKDAY(A243),'[1]נתונים נוספים'!$C$4:$J$6,VLOOKUP('חתירה למטרה 2'!D243,'[1]נתונים נוספים'!$M$9:$N$15,2,FALSE),TRUE)*'חתירה למטרה 2'!I243</f>
        <v>509.44</v>
      </c>
    </row>
    <row r="244" spans="1:12" x14ac:dyDescent="0.25">
      <c r="A244" s="60">
        <v>44301</v>
      </c>
      <c r="B244" s="61" t="s">
        <v>162</v>
      </c>
      <c r="C244" s="61" t="s">
        <v>163</v>
      </c>
      <c r="D244" s="61" t="s">
        <v>164</v>
      </c>
      <c r="E244" s="61">
        <v>139</v>
      </c>
      <c r="F244" s="61">
        <v>6</v>
      </c>
      <c r="G244" s="61" t="s">
        <v>168</v>
      </c>
      <c r="H244" s="62">
        <v>133.44</v>
      </c>
      <c r="I244" s="63">
        <f t="shared" si="11"/>
        <v>700.56</v>
      </c>
      <c r="J244" s="59" t="str">
        <f t="shared" si="12"/>
        <v>יום חמישי</v>
      </c>
      <c r="K244" s="64">
        <f t="shared" si="13"/>
        <v>44391</v>
      </c>
      <c r="L244" s="59">
        <f>VLOOKUP(WEEKDAY(A244),'[1]נתונים נוספים'!$C$4:$J$6,VLOOKUP('חתירה למטרה 2'!D244,'[1]נתונים נוספים'!$M$9:$N$15,2,FALSE),TRUE)*'חתירה למטרה 2'!I244</f>
        <v>56.044799999999995</v>
      </c>
    </row>
    <row r="245" spans="1:12" x14ac:dyDescent="0.25">
      <c r="A245" s="60">
        <v>44329</v>
      </c>
      <c r="B245" s="61" t="s">
        <v>162</v>
      </c>
      <c r="C245" s="61" t="s">
        <v>179</v>
      </c>
      <c r="D245" s="61" t="s">
        <v>180</v>
      </c>
      <c r="E245" s="61">
        <v>499</v>
      </c>
      <c r="F245" s="61">
        <v>19</v>
      </c>
      <c r="G245" s="61" t="s">
        <v>183</v>
      </c>
      <c r="H245" s="62">
        <v>1232.53</v>
      </c>
      <c r="I245" s="63">
        <f t="shared" si="11"/>
        <v>8248.4699999999993</v>
      </c>
      <c r="J245" s="59" t="str">
        <f t="shared" si="12"/>
        <v>יום חמישי</v>
      </c>
      <c r="K245" s="64">
        <f t="shared" si="13"/>
        <v>44419</v>
      </c>
      <c r="L245" s="59">
        <f>VLOOKUP(WEEKDAY(A245),'[1]נתונים נוספים'!$C$4:$J$6,VLOOKUP('חתירה למטרה 2'!D245,'[1]נתונים נוספים'!$M$9:$N$15,2,FALSE),TRUE)*'חתירה למטרה 2'!I245</f>
        <v>742.36229999999989</v>
      </c>
    </row>
    <row r="246" spans="1:12" x14ac:dyDescent="0.25">
      <c r="A246" s="60">
        <v>44156</v>
      </c>
      <c r="B246" s="61" t="s">
        <v>162</v>
      </c>
      <c r="C246" s="61" t="s">
        <v>198</v>
      </c>
      <c r="D246" s="61" t="s">
        <v>180</v>
      </c>
      <c r="E246" s="61">
        <v>629</v>
      </c>
      <c r="F246" s="61">
        <v>29</v>
      </c>
      <c r="G246" s="61" t="s">
        <v>165</v>
      </c>
      <c r="H246" s="62">
        <v>1824.1000000000001</v>
      </c>
      <c r="I246" s="63">
        <f t="shared" si="11"/>
        <v>16416.900000000001</v>
      </c>
      <c r="J246" s="59" t="str">
        <f t="shared" si="12"/>
        <v>שבת</v>
      </c>
      <c r="K246" s="64">
        <f t="shared" si="13"/>
        <v>44246</v>
      </c>
      <c r="L246" s="59">
        <f>VLOOKUP(WEEKDAY(A246),'[1]נתונים נוספים'!$C$4:$J$6,VLOOKUP('חתירה למטרה 2'!D246,'[1]נתונים נוספים'!$M$9:$N$15,2,FALSE),TRUE)*'חתירה למטרה 2'!I246</f>
        <v>985.01400000000001</v>
      </c>
    </row>
    <row r="247" spans="1:12" x14ac:dyDescent="0.25">
      <c r="A247" s="60">
        <v>44147</v>
      </c>
      <c r="B247" s="61" t="s">
        <v>162</v>
      </c>
      <c r="C247" s="61" t="s">
        <v>210</v>
      </c>
      <c r="D247" s="61" t="s">
        <v>209</v>
      </c>
      <c r="E247" s="61">
        <v>99</v>
      </c>
      <c r="F247" s="61">
        <v>17</v>
      </c>
      <c r="G247" s="61" t="s">
        <v>189</v>
      </c>
      <c r="H247" s="62">
        <v>218.79000000000002</v>
      </c>
      <c r="I247" s="63">
        <f t="shared" si="11"/>
        <v>1464.21</v>
      </c>
      <c r="J247" s="59" t="str">
        <f t="shared" si="12"/>
        <v>יום חמישי</v>
      </c>
      <c r="K247" s="64">
        <f t="shared" si="13"/>
        <v>44237</v>
      </c>
      <c r="L247" s="59">
        <f>VLOOKUP(WEEKDAY(A247),'[1]נתונים נוספים'!$C$4:$J$6,VLOOKUP('חתירה למטרה 2'!D247,'[1]נתונים נוספים'!$M$9:$N$15,2,FALSE),TRUE)*'חתירה למטרה 2'!I247</f>
        <v>36.605250000000005</v>
      </c>
    </row>
    <row r="248" spans="1:12" x14ac:dyDescent="0.25">
      <c r="A248" s="60">
        <v>44318</v>
      </c>
      <c r="B248" s="61" t="s">
        <v>60</v>
      </c>
      <c r="C248" s="61" t="s">
        <v>190</v>
      </c>
      <c r="D248" s="61" t="s">
        <v>191</v>
      </c>
      <c r="E248" s="61">
        <v>280</v>
      </c>
      <c r="F248" s="61">
        <v>24</v>
      </c>
      <c r="G248" s="61" t="s">
        <v>212</v>
      </c>
      <c r="H248" s="62">
        <v>1478.4</v>
      </c>
      <c r="I248" s="63">
        <f t="shared" si="11"/>
        <v>5241.6000000000004</v>
      </c>
      <c r="J248" s="59" t="str">
        <f t="shared" si="12"/>
        <v>יום ראשון</v>
      </c>
      <c r="K248" s="64">
        <f t="shared" si="13"/>
        <v>44348</v>
      </c>
      <c r="L248" s="59">
        <f>VLOOKUP(WEEKDAY(A248),'[1]נתונים נוספים'!$C$4:$J$6,VLOOKUP('חתירה למטרה 2'!D248,'[1]נתונים נוספים'!$M$9:$N$15,2,FALSE),TRUE)*'חתירה למטרה 2'!I248</f>
        <v>52.416000000000004</v>
      </c>
    </row>
    <row r="249" spans="1:12" x14ac:dyDescent="0.25">
      <c r="A249" s="60">
        <v>44240</v>
      </c>
      <c r="B249" s="61" t="s">
        <v>82</v>
      </c>
      <c r="C249" s="61" t="s">
        <v>186</v>
      </c>
      <c r="D249" s="61" t="s">
        <v>173</v>
      </c>
      <c r="E249" s="61">
        <v>399</v>
      </c>
      <c r="F249" s="61">
        <v>5</v>
      </c>
      <c r="G249" s="61" t="s">
        <v>199</v>
      </c>
      <c r="H249" s="62">
        <v>498.75</v>
      </c>
      <c r="I249" s="63">
        <f t="shared" si="11"/>
        <v>1496.25</v>
      </c>
      <c r="J249" s="59" t="str">
        <f t="shared" si="12"/>
        <v>שבת</v>
      </c>
      <c r="K249" s="64">
        <f t="shared" si="13"/>
        <v>44260</v>
      </c>
      <c r="L249" s="59">
        <f>VLOOKUP(WEEKDAY(A249),'[1]נתונים נוספים'!$C$4:$J$6,VLOOKUP('חתירה למטרה 2'!D249,'[1]נתונים נוספים'!$M$9:$N$15,2,FALSE),TRUE)*'חתירה למטרה 2'!I249</f>
        <v>37.40625</v>
      </c>
    </row>
    <row r="250" spans="1:12" x14ac:dyDescent="0.25">
      <c r="A250" s="60">
        <v>44033</v>
      </c>
      <c r="B250" s="61" t="s">
        <v>101</v>
      </c>
      <c r="C250" s="61" t="s">
        <v>185</v>
      </c>
      <c r="D250" s="61" t="s">
        <v>177</v>
      </c>
      <c r="E250" s="61">
        <v>95</v>
      </c>
      <c r="F250" s="61">
        <v>24</v>
      </c>
      <c r="G250" s="61" t="s">
        <v>188</v>
      </c>
      <c r="H250" s="62">
        <v>364.8</v>
      </c>
      <c r="I250" s="63">
        <f t="shared" si="11"/>
        <v>1915.2</v>
      </c>
      <c r="J250" s="59" t="str">
        <f t="shared" si="12"/>
        <v>יום שלישי</v>
      </c>
      <c r="K250" s="64">
        <f t="shared" si="13"/>
        <v>44073</v>
      </c>
      <c r="L250" s="59">
        <f>VLOOKUP(WEEKDAY(A250),'[1]נתונים נוספים'!$C$4:$J$6,VLOOKUP('חתירה למטרה 2'!D250,'[1]נתונים נוספים'!$M$9:$N$15,2,FALSE),TRUE)*'חתירה למטרה 2'!I250</f>
        <v>38.304000000000002</v>
      </c>
    </row>
    <row r="251" spans="1:12" x14ac:dyDescent="0.25">
      <c r="A251" s="60">
        <v>44063</v>
      </c>
      <c r="B251" s="61" t="s">
        <v>162</v>
      </c>
      <c r="C251" s="61" t="s">
        <v>194</v>
      </c>
      <c r="D251" s="61" t="s">
        <v>164</v>
      </c>
      <c r="E251" s="61">
        <v>75</v>
      </c>
      <c r="F251" s="61">
        <v>13</v>
      </c>
      <c r="G251" s="61" t="s">
        <v>189</v>
      </c>
      <c r="H251" s="62">
        <v>214.5</v>
      </c>
      <c r="I251" s="63">
        <f t="shared" si="11"/>
        <v>760.5</v>
      </c>
      <c r="J251" s="59" t="str">
        <f t="shared" si="12"/>
        <v>יום חמישי</v>
      </c>
      <c r="K251" s="64">
        <f t="shared" si="13"/>
        <v>44153</v>
      </c>
      <c r="L251" s="59">
        <f>VLOOKUP(WEEKDAY(A251),'[1]נתונים נוספים'!$C$4:$J$6,VLOOKUP('חתירה למטרה 2'!D251,'[1]נתונים נוספים'!$M$9:$N$15,2,FALSE),TRUE)*'חתירה למטרה 2'!I251</f>
        <v>60.84</v>
      </c>
    </row>
    <row r="252" spans="1:12" x14ac:dyDescent="0.25">
      <c r="A252" s="60">
        <v>44094</v>
      </c>
      <c r="B252" s="61" t="s">
        <v>60</v>
      </c>
      <c r="C252" s="61" t="s">
        <v>171</v>
      </c>
      <c r="D252" s="61" t="s">
        <v>164</v>
      </c>
      <c r="E252" s="61">
        <v>119</v>
      </c>
      <c r="F252" s="61">
        <v>28</v>
      </c>
      <c r="G252" s="61" t="s">
        <v>212</v>
      </c>
      <c r="H252" s="62">
        <v>733.04</v>
      </c>
      <c r="I252" s="63">
        <f t="shared" si="11"/>
        <v>2598.96</v>
      </c>
      <c r="J252" s="59" t="str">
        <f t="shared" si="12"/>
        <v>יום ראשון</v>
      </c>
      <c r="K252" s="64">
        <f t="shared" si="13"/>
        <v>44134</v>
      </c>
      <c r="L252" s="59">
        <f>VLOOKUP(WEEKDAY(A252),'[1]נתונים נוספים'!$C$4:$J$6,VLOOKUP('חתירה למטרה 2'!D252,'[1]נתונים נוספים'!$M$9:$N$15,2,FALSE),TRUE)*'חתירה למטרה 2'!I252</f>
        <v>0</v>
      </c>
    </row>
    <row r="253" spans="1:12" x14ac:dyDescent="0.25">
      <c r="A253" s="60">
        <v>44080</v>
      </c>
      <c r="B253" s="61" t="s">
        <v>101</v>
      </c>
      <c r="C253" s="61" t="s">
        <v>185</v>
      </c>
      <c r="D253" s="61" t="s">
        <v>177</v>
      </c>
      <c r="E253" s="61">
        <v>95</v>
      </c>
      <c r="F253" s="61">
        <v>8</v>
      </c>
      <c r="G253" s="61" t="s">
        <v>188</v>
      </c>
      <c r="H253" s="62">
        <v>91.2</v>
      </c>
      <c r="I253" s="63">
        <f t="shared" si="11"/>
        <v>668.8</v>
      </c>
      <c r="J253" s="59" t="str">
        <f t="shared" si="12"/>
        <v>יום ראשון</v>
      </c>
      <c r="K253" s="64">
        <f t="shared" si="13"/>
        <v>44120</v>
      </c>
      <c r="L253" s="59">
        <f>VLOOKUP(WEEKDAY(A253),'[1]נתונים נוספים'!$C$4:$J$6,VLOOKUP('חתירה למטרה 2'!D253,'[1]נתונים נוספים'!$M$9:$N$15,2,FALSE),TRUE)*'חתירה למטרה 2'!I253</f>
        <v>13.375999999999999</v>
      </c>
    </row>
    <row r="254" spans="1:12" x14ac:dyDescent="0.25">
      <c r="A254" s="60">
        <v>44059</v>
      </c>
      <c r="B254" s="61" t="s">
        <v>162</v>
      </c>
      <c r="C254" s="61" t="s">
        <v>172</v>
      </c>
      <c r="D254" s="61" t="s">
        <v>173</v>
      </c>
      <c r="E254" s="61">
        <v>175</v>
      </c>
      <c r="F254" s="61">
        <v>21</v>
      </c>
      <c r="G254" s="61" t="s">
        <v>183</v>
      </c>
      <c r="H254" s="62">
        <v>514.5</v>
      </c>
      <c r="I254" s="63">
        <f t="shared" si="11"/>
        <v>3160.5</v>
      </c>
      <c r="J254" s="59" t="str">
        <f t="shared" si="12"/>
        <v>יום ראשון</v>
      </c>
      <c r="K254" s="64">
        <f t="shared" si="13"/>
        <v>44149</v>
      </c>
      <c r="L254" s="59">
        <f>VLOOKUP(WEEKDAY(A254),'[1]נתונים נוספים'!$C$4:$J$6,VLOOKUP('חתירה למטרה 2'!D254,'[1]נתונים נוספים'!$M$9:$N$15,2,FALSE),TRUE)*'חתירה למטרה 2'!I254</f>
        <v>158.02500000000001</v>
      </c>
    </row>
    <row r="255" spans="1:12" x14ac:dyDescent="0.25">
      <c r="A255" s="60">
        <v>44101</v>
      </c>
      <c r="B255" s="61" t="s">
        <v>82</v>
      </c>
      <c r="C255" s="61" t="s">
        <v>190</v>
      </c>
      <c r="D255" s="61" t="s">
        <v>191</v>
      </c>
      <c r="E255" s="61">
        <v>280</v>
      </c>
      <c r="F255" s="61">
        <v>1</v>
      </c>
      <c r="G255" s="61" t="s">
        <v>197</v>
      </c>
      <c r="H255" s="62">
        <v>64.400000000000006</v>
      </c>
      <c r="I255" s="63">
        <f t="shared" si="11"/>
        <v>215.6</v>
      </c>
      <c r="J255" s="59" t="str">
        <f t="shared" si="12"/>
        <v>יום ראשון</v>
      </c>
      <c r="K255" s="64">
        <f t="shared" si="13"/>
        <v>44141</v>
      </c>
      <c r="L255" s="59">
        <f>VLOOKUP(WEEKDAY(A255),'[1]נתונים נוספים'!$C$4:$J$6,VLOOKUP('חתירה למטרה 2'!D255,'[1]נתונים נוספים'!$M$9:$N$15,2,FALSE),TRUE)*'חתירה למטרה 2'!I255</f>
        <v>2.1560000000000001</v>
      </c>
    </row>
    <row r="256" spans="1:12" x14ac:dyDescent="0.25">
      <c r="A256" s="60">
        <v>44031</v>
      </c>
      <c r="B256" s="61" t="s">
        <v>162</v>
      </c>
      <c r="C256" s="61" t="s">
        <v>198</v>
      </c>
      <c r="D256" s="61" t="s">
        <v>180</v>
      </c>
      <c r="E256" s="61">
        <v>629</v>
      </c>
      <c r="F256" s="61">
        <v>2</v>
      </c>
      <c r="G256" s="61" t="s">
        <v>183</v>
      </c>
      <c r="H256" s="62">
        <v>138.38</v>
      </c>
      <c r="I256" s="63">
        <f t="shared" si="11"/>
        <v>1119.6199999999999</v>
      </c>
      <c r="J256" s="59" t="str">
        <f t="shared" si="12"/>
        <v>יום ראשון</v>
      </c>
      <c r="K256" s="64">
        <f t="shared" si="13"/>
        <v>44121</v>
      </c>
      <c r="L256" s="59">
        <f>VLOOKUP(WEEKDAY(A256),'[1]נתונים נוספים'!$C$4:$J$6,VLOOKUP('חתירה למטרה 2'!D256,'[1]נתונים נוספים'!$M$9:$N$15,2,FALSE),TRUE)*'חתירה למטרה 2'!I256</f>
        <v>55.980999999999995</v>
      </c>
    </row>
    <row r="257" spans="1:12" x14ac:dyDescent="0.25">
      <c r="A257" s="60">
        <v>44099</v>
      </c>
      <c r="B257" s="61" t="s">
        <v>162</v>
      </c>
      <c r="C257" s="61" t="s">
        <v>185</v>
      </c>
      <c r="D257" s="61" t="s">
        <v>177</v>
      </c>
      <c r="E257" s="61">
        <v>95</v>
      </c>
      <c r="F257" s="61">
        <v>16</v>
      </c>
      <c r="G257" s="61" t="s">
        <v>183</v>
      </c>
      <c r="H257" s="62">
        <v>212.8</v>
      </c>
      <c r="I257" s="63">
        <f t="shared" si="11"/>
        <v>1307.2</v>
      </c>
      <c r="J257" s="59" t="str">
        <f t="shared" si="12"/>
        <v>יום שישי</v>
      </c>
      <c r="K257" s="64">
        <f t="shared" si="13"/>
        <v>44189</v>
      </c>
      <c r="L257" s="59">
        <f>VLOOKUP(WEEKDAY(A257),'[1]נתונים נוספים'!$C$4:$J$6,VLOOKUP('חתירה למטרה 2'!D257,'[1]נתונים נוספים'!$M$9:$N$15,2,FALSE),TRUE)*'חתירה למטרה 2'!I257</f>
        <v>0</v>
      </c>
    </row>
    <row r="258" spans="1:12" x14ac:dyDescent="0.25">
      <c r="A258" s="60">
        <v>44018</v>
      </c>
      <c r="B258" s="61" t="s">
        <v>162</v>
      </c>
      <c r="C258" s="61" t="s">
        <v>176</v>
      </c>
      <c r="D258" s="61" t="s">
        <v>177</v>
      </c>
      <c r="E258" s="61">
        <v>899</v>
      </c>
      <c r="F258" s="61">
        <v>11</v>
      </c>
      <c r="G258" s="61" t="s">
        <v>168</v>
      </c>
      <c r="H258" s="62">
        <v>2274.4700000000003</v>
      </c>
      <c r="I258" s="63">
        <f t="shared" si="11"/>
        <v>7614.53</v>
      </c>
      <c r="J258" s="59" t="str">
        <f t="shared" si="12"/>
        <v>יום שני</v>
      </c>
      <c r="K258" s="64">
        <f t="shared" si="13"/>
        <v>44108</v>
      </c>
      <c r="L258" s="59">
        <f>VLOOKUP(WEEKDAY(A258),'[1]נתונים נוספים'!$C$4:$J$6,VLOOKUP('חתירה למטרה 2'!D258,'[1]נתונים נוספים'!$M$9:$N$15,2,FALSE),TRUE)*'חתירה למטרה 2'!I258</f>
        <v>152.29060000000001</v>
      </c>
    </row>
    <row r="259" spans="1:12" x14ac:dyDescent="0.25">
      <c r="A259" s="60">
        <v>44185</v>
      </c>
      <c r="B259" s="61" t="s">
        <v>175</v>
      </c>
      <c r="C259" s="61" t="s">
        <v>186</v>
      </c>
      <c r="D259" s="61" t="s">
        <v>173</v>
      </c>
      <c r="E259" s="61">
        <v>399</v>
      </c>
      <c r="F259" s="61">
        <v>21</v>
      </c>
      <c r="G259" s="61" t="s">
        <v>193</v>
      </c>
      <c r="H259" s="62">
        <v>2010.96</v>
      </c>
      <c r="I259" s="63">
        <f t="shared" ref="I259:I267" si="14">E259*F259-H259</f>
        <v>6368.04</v>
      </c>
      <c r="J259" s="59" t="str">
        <f t="shared" ref="J259:J267" si="15">TEXT(A259,"dddd")</f>
        <v>יום ראשון</v>
      </c>
      <c r="K259" s="64">
        <f t="shared" ref="K259:K267" si="16">IF(B259=$K$270,A259+$L$270,VLOOKUP(MONTH(A259),$K$272:$L$275,2,TRUE)+A259)</f>
        <v>44235</v>
      </c>
      <c r="L259" s="59">
        <f>VLOOKUP(WEEKDAY(A259),'[1]נתונים נוספים'!$C$4:$J$6,VLOOKUP('חתירה למטרה 2'!D259,'[1]נתונים נוספים'!$M$9:$N$15,2,FALSE),TRUE)*'חתירה למטרה 2'!I259</f>
        <v>318.40200000000004</v>
      </c>
    </row>
    <row r="260" spans="1:12" x14ac:dyDescent="0.25">
      <c r="A260" s="60">
        <v>44366</v>
      </c>
      <c r="B260" s="61" t="s">
        <v>82</v>
      </c>
      <c r="C260" s="61" t="s">
        <v>190</v>
      </c>
      <c r="D260" s="61" t="s">
        <v>191</v>
      </c>
      <c r="E260" s="61">
        <v>280</v>
      </c>
      <c r="F260" s="61">
        <v>11</v>
      </c>
      <c r="G260" s="61" t="s">
        <v>199</v>
      </c>
      <c r="H260" s="62">
        <v>739.19999999999993</v>
      </c>
      <c r="I260" s="63">
        <f t="shared" si="14"/>
        <v>2340.8000000000002</v>
      </c>
      <c r="J260" s="59" t="str">
        <f t="shared" si="15"/>
        <v>שבת</v>
      </c>
      <c r="K260" s="64">
        <f t="shared" si="16"/>
        <v>44396</v>
      </c>
      <c r="L260" s="59">
        <f>VLOOKUP(WEEKDAY(A260),'[1]נתונים נוספים'!$C$4:$J$6,VLOOKUP('חתירה למטרה 2'!D260,'[1]נתונים נוספים'!$M$9:$N$15,2,FALSE),TRUE)*'חתירה למטרה 2'!I260</f>
        <v>81.928000000000011</v>
      </c>
    </row>
    <row r="261" spans="1:12" x14ac:dyDescent="0.25">
      <c r="A261" s="60">
        <v>44332</v>
      </c>
      <c r="B261" s="61" t="s">
        <v>82</v>
      </c>
      <c r="C261" s="61" t="s">
        <v>198</v>
      </c>
      <c r="D261" s="61" t="s">
        <v>180</v>
      </c>
      <c r="E261" s="61">
        <v>629</v>
      </c>
      <c r="F261" s="61">
        <v>9</v>
      </c>
      <c r="G261" s="61" t="s">
        <v>197</v>
      </c>
      <c r="H261" s="62">
        <v>1188.81</v>
      </c>
      <c r="I261" s="63">
        <f t="shared" si="14"/>
        <v>4472.1900000000005</v>
      </c>
      <c r="J261" s="59" t="str">
        <f t="shared" si="15"/>
        <v>יום ראשון</v>
      </c>
      <c r="K261" s="64">
        <f t="shared" si="16"/>
        <v>44362</v>
      </c>
      <c r="L261" s="59">
        <f>VLOOKUP(WEEKDAY(A261),'[1]נתונים נוספים'!$C$4:$J$6,VLOOKUP('חתירה למטרה 2'!D261,'[1]נתונים נוספים'!$M$9:$N$15,2,FALSE),TRUE)*'חתירה למטרה 2'!I261</f>
        <v>223.60950000000003</v>
      </c>
    </row>
    <row r="262" spans="1:12" x14ac:dyDescent="0.25">
      <c r="A262" s="60">
        <v>44324</v>
      </c>
      <c r="B262" s="61" t="s">
        <v>162</v>
      </c>
      <c r="C262" s="61" t="s">
        <v>200</v>
      </c>
      <c r="D262" s="61" t="s">
        <v>177</v>
      </c>
      <c r="E262" s="61">
        <v>350</v>
      </c>
      <c r="F262" s="61">
        <v>26</v>
      </c>
      <c r="G262" s="61" t="s">
        <v>183</v>
      </c>
      <c r="H262" s="62">
        <v>910</v>
      </c>
      <c r="I262" s="63">
        <f t="shared" si="14"/>
        <v>8190</v>
      </c>
      <c r="J262" s="59" t="str">
        <f t="shared" si="15"/>
        <v>שבת</v>
      </c>
      <c r="K262" s="64">
        <f t="shared" si="16"/>
        <v>44414</v>
      </c>
      <c r="L262" s="59">
        <f>VLOOKUP(WEEKDAY(A262),'[1]נתונים נוספים'!$C$4:$J$6,VLOOKUP('חתירה למטרה 2'!D262,'[1]נתונים נוספים'!$M$9:$N$15,2,FALSE),TRUE)*'חתירה למטרה 2'!I262</f>
        <v>0</v>
      </c>
    </row>
    <row r="263" spans="1:12" x14ac:dyDescent="0.25">
      <c r="A263" s="60">
        <v>44246</v>
      </c>
      <c r="B263" s="61" t="s">
        <v>175</v>
      </c>
      <c r="C263" s="61" t="s">
        <v>179</v>
      </c>
      <c r="D263" s="61" t="s">
        <v>180</v>
      </c>
      <c r="E263" s="61">
        <v>499</v>
      </c>
      <c r="F263" s="61">
        <v>31</v>
      </c>
      <c r="G263" s="61" t="s">
        <v>193</v>
      </c>
      <c r="H263" s="62">
        <v>928.14</v>
      </c>
      <c r="I263" s="63">
        <f t="shared" si="14"/>
        <v>14540.86</v>
      </c>
      <c r="J263" s="59" t="str">
        <f t="shared" si="15"/>
        <v>יום שישי</v>
      </c>
      <c r="K263" s="64">
        <f t="shared" si="16"/>
        <v>44266</v>
      </c>
      <c r="L263" s="59">
        <f>VLOOKUP(WEEKDAY(A263),'[1]נתונים נוספים'!$C$4:$J$6,VLOOKUP('חתירה למטרה 2'!D263,'[1]נתונים נוספים'!$M$9:$N$15,2,FALSE),TRUE)*'חתירה למטרה 2'!I263</f>
        <v>872.45159999999998</v>
      </c>
    </row>
    <row r="264" spans="1:12" x14ac:dyDescent="0.25">
      <c r="A264" s="60">
        <v>44149</v>
      </c>
      <c r="B264" s="61" t="s">
        <v>162</v>
      </c>
      <c r="C264" s="61" t="s">
        <v>163</v>
      </c>
      <c r="D264" s="61" t="s">
        <v>164</v>
      </c>
      <c r="E264" s="61">
        <v>139</v>
      </c>
      <c r="F264" s="61">
        <v>10</v>
      </c>
      <c r="G264" s="61" t="s">
        <v>183</v>
      </c>
      <c r="H264" s="62">
        <v>97.300000000000011</v>
      </c>
      <c r="I264" s="63">
        <f t="shared" si="14"/>
        <v>1292.7</v>
      </c>
      <c r="J264" s="59" t="str">
        <f t="shared" si="15"/>
        <v>שבת</v>
      </c>
      <c r="K264" s="64">
        <f t="shared" si="16"/>
        <v>44239</v>
      </c>
      <c r="L264" s="59">
        <f>VLOOKUP(WEEKDAY(A264),'[1]נתונים נוספים'!$C$4:$J$6,VLOOKUP('חתירה למטרה 2'!D264,'[1]נתונים נוספים'!$M$9:$N$15,2,FALSE),TRUE)*'חתירה למטרה 2'!I264</f>
        <v>71.098500000000001</v>
      </c>
    </row>
    <row r="265" spans="1:12" x14ac:dyDescent="0.25">
      <c r="A265" s="60">
        <v>44197</v>
      </c>
      <c r="B265" s="61" t="s">
        <v>82</v>
      </c>
      <c r="C265" s="61" t="s">
        <v>204</v>
      </c>
      <c r="D265" s="61" t="s">
        <v>177</v>
      </c>
      <c r="E265" s="61">
        <v>555</v>
      </c>
      <c r="F265" s="61">
        <v>24</v>
      </c>
      <c r="G265" s="61" t="s">
        <v>197</v>
      </c>
      <c r="H265" s="62">
        <v>1998</v>
      </c>
      <c r="I265" s="63">
        <f t="shared" si="14"/>
        <v>11322</v>
      </c>
      <c r="J265" s="59" t="str">
        <f t="shared" si="15"/>
        <v>יום שישי</v>
      </c>
      <c r="K265" s="64">
        <f t="shared" si="16"/>
        <v>44217</v>
      </c>
      <c r="L265" s="59">
        <f>VLOOKUP(WEEKDAY(A265),'[1]נתונים נוספים'!$C$4:$J$6,VLOOKUP('חתירה למטרה 2'!D265,'[1]נתונים נוספים'!$M$9:$N$15,2,FALSE),TRUE)*'חתירה למטרה 2'!I265</f>
        <v>0</v>
      </c>
    </row>
    <row r="266" spans="1:12" x14ac:dyDescent="0.25">
      <c r="A266" s="60">
        <v>44255</v>
      </c>
      <c r="B266" s="61" t="s">
        <v>175</v>
      </c>
      <c r="C266" s="61" t="s">
        <v>176</v>
      </c>
      <c r="D266" s="61" t="s">
        <v>177</v>
      </c>
      <c r="E266" s="61">
        <v>899</v>
      </c>
      <c r="F266" s="61">
        <v>11</v>
      </c>
      <c r="G266" s="61" t="s">
        <v>193</v>
      </c>
      <c r="H266" s="62">
        <v>890.01</v>
      </c>
      <c r="I266" s="63">
        <f t="shared" si="14"/>
        <v>8998.99</v>
      </c>
      <c r="J266" s="59" t="str">
        <f t="shared" si="15"/>
        <v>יום ראשון</v>
      </c>
      <c r="K266" s="64">
        <f t="shared" si="16"/>
        <v>44275</v>
      </c>
      <c r="L266" s="59">
        <f>VLOOKUP(WEEKDAY(A266),'[1]נתונים נוספים'!$C$4:$J$6,VLOOKUP('חתירה למטרה 2'!D266,'[1]נתונים נוספים'!$M$9:$N$15,2,FALSE),TRUE)*'חתירה למטרה 2'!I266</f>
        <v>179.97980000000001</v>
      </c>
    </row>
    <row r="267" spans="1:12" x14ac:dyDescent="0.25">
      <c r="A267" s="60">
        <v>44164</v>
      </c>
      <c r="B267" s="61" t="s">
        <v>82</v>
      </c>
      <c r="C267" s="61" t="s">
        <v>185</v>
      </c>
      <c r="D267" s="61" t="s">
        <v>177</v>
      </c>
      <c r="E267" s="61">
        <v>95</v>
      </c>
      <c r="F267" s="61">
        <v>20</v>
      </c>
      <c r="G267" s="61" t="s">
        <v>181</v>
      </c>
      <c r="H267" s="62">
        <v>304</v>
      </c>
      <c r="I267" s="63">
        <f t="shared" si="14"/>
        <v>1596</v>
      </c>
      <c r="J267" s="59" t="str">
        <f t="shared" si="15"/>
        <v>יום ראשון</v>
      </c>
      <c r="K267" s="64">
        <f t="shared" si="16"/>
        <v>44204</v>
      </c>
      <c r="L267" s="59">
        <f>VLOOKUP(WEEKDAY(A267),'[1]נתונים נוספים'!$C$4:$J$6,VLOOKUP('חתירה למטרה 2'!D267,'[1]נתונים נוספים'!$M$9:$N$15,2,FALSE),TRUE)*'חתירה למטרה 2'!I267</f>
        <v>31.92</v>
      </c>
    </row>
    <row r="268" spans="1:12" x14ac:dyDescent="0.25">
      <c r="A268" s="59"/>
    </row>
    <row r="269" spans="1:12" x14ac:dyDescent="0.25">
      <c r="A269" s="59"/>
    </row>
    <row r="270" spans="1:12" x14ac:dyDescent="0.25">
      <c r="A270" s="59"/>
      <c r="K270" s="61" t="s">
        <v>162</v>
      </c>
      <c r="L270" s="59">
        <v>90</v>
      </c>
    </row>
    <row r="271" spans="1:12" x14ac:dyDescent="0.25">
      <c r="A271" s="59"/>
    </row>
    <row r="272" spans="1:12" x14ac:dyDescent="0.25">
      <c r="A272" s="59"/>
      <c r="K272" s="59">
        <v>1</v>
      </c>
      <c r="L272" s="59">
        <v>20</v>
      </c>
    </row>
    <row r="273" spans="1:12" x14ac:dyDescent="0.25">
      <c r="A273" s="59"/>
      <c r="K273" s="59">
        <v>4</v>
      </c>
      <c r="L273" s="59">
        <v>30</v>
      </c>
    </row>
    <row r="274" spans="1:12" x14ac:dyDescent="0.25">
      <c r="A274" s="59"/>
      <c r="K274" s="59">
        <v>7</v>
      </c>
      <c r="L274" s="59">
        <v>40</v>
      </c>
    </row>
    <row r="275" spans="1:12" x14ac:dyDescent="0.25">
      <c r="A275" s="59"/>
      <c r="K275" s="59">
        <v>12</v>
      </c>
      <c r="L275" s="59">
        <v>50</v>
      </c>
    </row>
    <row r="276" spans="1:12" x14ac:dyDescent="0.25">
      <c r="A276" s="59"/>
    </row>
    <row r="277" spans="1:12" x14ac:dyDescent="0.25">
      <c r="A277" s="59"/>
    </row>
    <row r="278" spans="1:12" x14ac:dyDescent="0.25">
      <c r="A278" s="59"/>
    </row>
    <row r="279" spans="1:12" x14ac:dyDescent="0.25">
      <c r="A279" s="59"/>
    </row>
    <row r="280" spans="1:12" x14ac:dyDescent="0.25">
      <c r="A280" s="59"/>
    </row>
    <row r="281" spans="1:12" x14ac:dyDescent="0.25">
      <c r="A281" s="59"/>
    </row>
    <row r="282" spans="1:12" x14ac:dyDescent="0.25">
      <c r="A282" s="59"/>
    </row>
    <row r="283" spans="1:12" x14ac:dyDescent="0.25">
      <c r="A283" s="59"/>
    </row>
    <row r="284" spans="1:12" x14ac:dyDescent="0.25">
      <c r="A284" s="59"/>
    </row>
    <row r="285" spans="1:12" x14ac:dyDescent="0.25">
      <c r="A285" s="59"/>
    </row>
    <row r="286" spans="1:12" x14ac:dyDescent="0.25">
      <c r="A286" s="59"/>
    </row>
    <row r="287" spans="1:12" x14ac:dyDescent="0.25">
      <c r="A287" s="59"/>
    </row>
    <row r="288" spans="1:12" x14ac:dyDescent="0.25">
      <c r="A288" s="59"/>
    </row>
    <row r="289" spans="1:1" x14ac:dyDescent="0.25">
      <c r="A289" s="59"/>
    </row>
    <row r="290" spans="1:1" x14ac:dyDescent="0.25">
      <c r="A290" s="59"/>
    </row>
    <row r="291" spans="1:1" x14ac:dyDescent="0.25">
      <c r="A291" s="59"/>
    </row>
    <row r="292" spans="1:1" x14ac:dyDescent="0.25">
      <c r="A292" s="59"/>
    </row>
    <row r="293" spans="1:1" x14ac:dyDescent="0.25">
      <c r="A293" s="59"/>
    </row>
    <row r="294" spans="1:1" x14ac:dyDescent="0.25">
      <c r="A294" s="59"/>
    </row>
    <row r="295" spans="1:1" x14ac:dyDescent="0.25">
      <c r="A295" s="59"/>
    </row>
    <row r="296" spans="1:1" x14ac:dyDescent="0.25">
      <c r="A296" s="59"/>
    </row>
    <row r="297" spans="1:1" x14ac:dyDescent="0.25">
      <c r="A297" s="59"/>
    </row>
    <row r="298" spans="1:1" x14ac:dyDescent="0.25">
      <c r="A298" s="59"/>
    </row>
    <row r="299" spans="1:1" x14ac:dyDescent="0.25">
      <c r="A299" s="59"/>
    </row>
    <row r="300" spans="1:1" x14ac:dyDescent="0.25">
      <c r="A300" s="59"/>
    </row>
    <row r="301" spans="1:1" x14ac:dyDescent="0.25">
      <c r="A301" s="59"/>
    </row>
    <row r="302" spans="1:1" x14ac:dyDescent="0.25">
      <c r="A302" s="59"/>
    </row>
    <row r="303" spans="1:1" x14ac:dyDescent="0.25">
      <c r="A303" s="59"/>
    </row>
    <row r="304" spans="1:1" x14ac:dyDescent="0.25">
      <c r="A304" s="59"/>
    </row>
    <row r="305" spans="1:1" x14ac:dyDescent="0.25">
      <c r="A305" s="59"/>
    </row>
    <row r="306" spans="1:1" x14ac:dyDescent="0.25">
      <c r="A306" s="59"/>
    </row>
    <row r="307" spans="1:1" x14ac:dyDescent="0.25">
      <c r="A307" s="59"/>
    </row>
    <row r="308" spans="1:1" x14ac:dyDescent="0.25">
      <c r="A308" s="59"/>
    </row>
    <row r="309" spans="1:1" x14ac:dyDescent="0.25">
      <c r="A309" s="59"/>
    </row>
    <row r="310" spans="1:1" x14ac:dyDescent="0.25">
      <c r="A310" s="59"/>
    </row>
    <row r="311" spans="1:1" x14ac:dyDescent="0.25">
      <c r="A311" s="59"/>
    </row>
    <row r="312" spans="1:1" x14ac:dyDescent="0.25">
      <c r="A312" s="59"/>
    </row>
    <row r="313" spans="1:1" x14ac:dyDescent="0.25">
      <c r="A313" s="59"/>
    </row>
    <row r="314" spans="1:1" x14ac:dyDescent="0.25">
      <c r="A314" s="59"/>
    </row>
    <row r="315" spans="1:1" x14ac:dyDescent="0.25">
      <c r="A315" s="59"/>
    </row>
    <row r="316" spans="1:1" x14ac:dyDescent="0.25">
      <c r="A316" s="59"/>
    </row>
    <row r="317" spans="1:1" x14ac:dyDescent="0.25">
      <c r="A317" s="59"/>
    </row>
    <row r="318" spans="1:1" x14ac:dyDescent="0.25">
      <c r="A318" s="59"/>
    </row>
    <row r="319" spans="1:1" x14ac:dyDescent="0.25">
      <c r="A319" s="59"/>
    </row>
    <row r="320" spans="1:1" x14ac:dyDescent="0.25">
      <c r="A320" s="59"/>
    </row>
    <row r="321" spans="1:1" x14ac:dyDescent="0.25">
      <c r="A321" s="59"/>
    </row>
    <row r="322" spans="1:1" x14ac:dyDescent="0.25">
      <c r="A322" s="59"/>
    </row>
    <row r="323" spans="1:1" x14ac:dyDescent="0.25">
      <c r="A323" s="59"/>
    </row>
    <row r="324" spans="1:1" x14ac:dyDescent="0.25">
      <c r="A324" s="59"/>
    </row>
    <row r="325" spans="1:1" x14ac:dyDescent="0.25">
      <c r="A325" s="59"/>
    </row>
    <row r="326" spans="1:1" x14ac:dyDescent="0.25">
      <c r="A326" s="59"/>
    </row>
    <row r="327" spans="1:1" x14ac:dyDescent="0.25">
      <c r="A327" s="59"/>
    </row>
    <row r="328" spans="1:1" x14ac:dyDescent="0.25">
      <c r="A328" s="59"/>
    </row>
    <row r="329" spans="1:1" x14ac:dyDescent="0.25">
      <c r="A329" s="59"/>
    </row>
    <row r="330" spans="1:1" x14ac:dyDescent="0.25">
      <c r="A330" s="59"/>
    </row>
    <row r="331" spans="1:1" x14ac:dyDescent="0.25">
      <c r="A331" s="59"/>
    </row>
    <row r="332" spans="1:1" x14ac:dyDescent="0.25">
      <c r="A332" s="59"/>
    </row>
    <row r="333" spans="1:1" x14ac:dyDescent="0.25">
      <c r="A333" s="59"/>
    </row>
    <row r="334" spans="1:1" x14ac:dyDescent="0.25">
      <c r="A334" s="59"/>
    </row>
    <row r="335" spans="1:1" x14ac:dyDescent="0.25">
      <c r="A335" s="59"/>
    </row>
    <row r="336" spans="1:1" x14ac:dyDescent="0.25">
      <c r="A336" s="59"/>
    </row>
    <row r="337" spans="1:1" x14ac:dyDescent="0.25">
      <c r="A337" s="59"/>
    </row>
    <row r="338" spans="1:1" x14ac:dyDescent="0.25">
      <c r="A338" s="59"/>
    </row>
    <row r="339" spans="1:1" x14ac:dyDescent="0.25">
      <c r="A339" s="59"/>
    </row>
    <row r="340" spans="1:1" x14ac:dyDescent="0.25">
      <c r="A340" s="59"/>
    </row>
    <row r="341" spans="1:1" x14ac:dyDescent="0.25">
      <c r="A341" s="59"/>
    </row>
    <row r="342" spans="1:1" x14ac:dyDescent="0.25">
      <c r="A342" s="59"/>
    </row>
    <row r="343" spans="1:1" x14ac:dyDescent="0.25">
      <c r="A343" s="59"/>
    </row>
    <row r="344" spans="1:1" x14ac:dyDescent="0.25">
      <c r="A344" s="59"/>
    </row>
    <row r="345" spans="1:1" x14ac:dyDescent="0.25">
      <c r="A345" s="59"/>
    </row>
    <row r="346" spans="1:1" x14ac:dyDescent="0.25">
      <c r="A346" s="59"/>
    </row>
    <row r="347" spans="1:1" x14ac:dyDescent="0.25">
      <c r="A347" s="59"/>
    </row>
    <row r="348" spans="1:1" x14ac:dyDescent="0.25">
      <c r="A348" s="59"/>
    </row>
    <row r="349" spans="1:1" x14ac:dyDescent="0.25">
      <c r="A349" s="59"/>
    </row>
    <row r="350" spans="1:1" x14ac:dyDescent="0.25">
      <c r="A350" s="59"/>
    </row>
    <row r="351" spans="1:1" x14ac:dyDescent="0.25">
      <c r="A351" s="59"/>
    </row>
    <row r="352" spans="1:1" x14ac:dyDescent="0.25">
      <c r="A352" s="59"/>
    </row>
    <row r="353" spans="1:1" x14ac:dyDescent="0.25">
      <c r="A353" s="59"/>
    </row>
    <row r="354" spans="1:1" x14ac:dyDescent="0.25">
      <c r="A354" s="59"/>
    </row>
    <row r="355" spans="1:1" x14ac:dyDescent="0.25">
      <c r="A355" s="59"/>
    </row>
    <row r="356" spans="1:1" x14ac:dyDescent="0.25">
      <c r="A356" s="59"/>
    </row>
    <row r="357" spans="1:1" x14ac:dyDescent="0.25">
      <c r="A357" s="59"/>
    </row>
    <row r="358" spans="1:1" x14ac:dyDescent="0.25">
      <c r="A358" s="59"/>
    </row>
    <row r="359" spans="1:1" x14ac:dyDescent="0.25">
      <c r="A359" s="59"/>
    </row>
    <row r="360" spans="1:1" x14ac:dyDescent="0.25">
      <c r="A360" s="59"/>
    </row>
    <row r="361" spans="1:1" x14ac:dyDescent="0.25">
      <c r="A361" s="59"/>
    </row>
    <row r="362" spans="1:1" x14ac:dyDescent="0.25">
      <c r="A362" s="59"/>
    </row>
    <row r="363" spans="1:1" x14ac:dyDescent="0.25">
      <c r="A363" s="59"/>
    </row>
    <row r="364" spans="1:1" x14ac:dyDescent="0.25">
      <c r="A364" s="59"/>
    </row>
    <row r="365" spans="1:1" x14ac:dyDescent="0.25">
      <c r="A365" s="59"/>
    </row>
    <row r="366" spans="1:1" x14ac:dyDescent="0.25">
      <c r="A366" s="59"/>
    </row>
    <row r="367" spans="1:1" x14ac:dyDescent="0.25">
      <c r="A367" s="59"/>
    </row>
    <row r="368" spans="1:1" x14ac:dyDescent="0.25">
      <c r="A368" s="59"/>
    </row>
    <row r="369" spans="1:1" x14ac:dyDescent="0.25">
      <c r="A369" s="59"/>
    </row>
    <row r="370" spans="1:1" x14ac:dyDescent="0.25">
      <c r="A370" s="59"/>
    </row>
    <row r="371" spans="1:1" x14ac:dyDescent="0.25">
      <c r="A371" s="59"/>
    </row>
    <row r="372" spans="1:1" x14ac:dyDescent="0.25">
      <c r="A372" s="59"/>
    </row>
    <row r="373" spans="1:1" x14ac:dyDescent="0.25">
      <c r="A373" s="59"/>
    </row>
    <row r="374" spans="1:1" x14ac:dyDescent="0.25">
      <c r="A374" s="59"/>
    </row>
    <row r="375" spans="1:1" x14ac:dyDescent="0.25">
      <c r="A375" s="59"/>
    </row>
    <row r="376" spans="1:1" x14ac:dyDescent="0.25">
      <c r="A376" s="59"/>
    </row>
    <row r="377" spans="1:1" x14ac:dyDescent="0.25">
      <c r="A377" s="59"/>
    </row>
    <row r="378" spans="1:1" x14ac:dyDescent="0.25">
      <c r="A378" s="59"/>
    </row>
    <row r="379" spans="1:1" x14ac:dyDescent="0.25">
      <c r="A379" s="59"/>
    </row>
    <row r="380" spans="1:1" x14ac:dyDescent="0.25">
      <c r="A380" s="59"/>
    </row>
    <row r="381" spans="1:1" x14ac:dyDescent="0.25">
      <c r="A381" s="59"/>
    </row>
    <row r="382" spans="1:1" x14ac:dyDescent="0.25">
      <c r="A382" s="59"/>
    </row>
    <row r="383" spans="1:1" x14ac:dyDescent="0.25">
      <c r="A383" s="59"/>
    </row>
    <row r="384" spans="1:1" x14ac:dyDescent="0.25">
      <c r="A384" s="59"/>
    </row>
    <row r="385" spans="1:1" x14ac:dyDescent="0.25">
      <c r="A385" s="59"/>
    </row>
    <row r="386" spans="1:1" x14ac:dyDescent="0.25">
      <c r="A386" s="59"/>
    </row>
    <row r="387" spans="1:1" x14ac:dyDescent="0.25">
      <c r="A387" s="59"/>
    </row>
    <row r="388" spans="1:1" x14ac:dyDescent="0.25">
      <c r="A388" s="59"/>
    </row>
    <row r="389" spans="1:1" x14ac:dyDescent="0.25">
      <c r="A389" s="59"/>
    </row>
    <row r="390" spans="1:1" x14ac:dyDescent="0.25">
      <c r="A390" s="59"/>
    </row>
    <row r="391" spans="1:1" x14ac:dyDescent="0.25">
      <c r="A391" s="59"/>
    </row>
    <row r="392" spans="1:1" x14ac:dyDescent="0.25">
      <c r="A392" s="59"/>
    </row>
    <row r="393" spans="1:1" x14ac:dyDescent="0.25">
      <c r="A393" s="59"/>
    </row>
    <row r="394" spans="1:1" x14ac:dyDescent="0.25">
      <c r="A394" s="59"/>
    </row>
    <row r="395" spans="1:1" x14ac:dyDescent="0.25">
      <c r="A395" s="59"/>
    </row>
    <row r="396" spans="1:1" x14ac:dyDescent="0.25">
      <c r="A396" s="59"/>
    </row>
    <row r="397" spans="1:1" x14ac:dyDescent="0.25">
      <c r="A397" s="59"/>
    </row>
    <row r="398" spans="1:1" x14ac:dyDescent="0.25">
      <c r="A398" s="59"/>
    </row>
    <row r="399" spans="1:1" x14ac:dyDescent="0.25">
      <c r="A399" s="59"/>
    </row>
    <row r="400" spans="1:1" x14ac:dyDescent="0.25">
      <c r="A400" s="59"/>
    </row>
    <row r="401" spans="1:1" x14ac:dyDescent="0.25">
      <c r="A401" s="59"/>
    </row>
    <row r="402" spans="1:1" x14ac:dyDescent="0.25">
      <c r="A402" s="59"/>
    </row>
    <row r="403" spans="1:1" x14ac:dyDescent="0.25">
      <c r="A403" s="59"/>
    </row>
    <row r="404" spans="1:1" x14ac:dyDescent="0.25">
      <c r="A404" s="59"/>
    </row>
    <row r="405" spans="1:1" x14ac:dyDescent="0.25">
      <c r="A405" s="59"/>
    </row>
    <row r="406" spans="1:1" x14ac:dyDescent="0.25">
      <c r="A406" s="59"/>
    </row>
    <row r="407" spans="1:1" x14ac:dyDescent="0.25">
      <c r="A407" s="59"/>
    </row>
    <row r="408" spans="1:1" x14ac:dyDescent="0.25">
      <c r="A408" s="59"/>
    </row>
    <row r="409" spans="1:1" x14ac:dyDescent="0.25">
      <c r="A409" s="59"/>
    </row>
    <row r="410" spans="1:1" x14ac:dyDescent="0.25">
      <c r="A410" s="59"/>
    </row>
    <row r="411" spans="1:1" x14ac:dyDescent="0.25">
      <c r="A411" s="59"/>
    </row>
    <row r="412" spans="1:1" x14ac:dyDescent="0.25">
      <c r="A412" s="59"/>
    </row>
    <row r="413" spans="1:1" x14ac:dyDescent="0.25">
      <c r="A413" s="59"/>
    </row>
    <row r="414" spans="1:1" x14ac:dyDescent="0.25">
      <c r="A414" s="59"/>
    </row>
    <row r="415" spans="1:1" x14ac:dyDescent="0.25">
      <c r="A415" s="59"/>
    </row>
    <row r="416" spans="1:1" x14ac:dyDescent="0.25">
      <c r="A416" s="59"/>
    </row>
    <row r="417" spans="1:1" x14ac:dyDescent="0.25">
      <c r="A417" s="59"/>
    </row>
    <row r="418" spans="1:1" x14ac:dyDescent="0.25">
      <c r="A418" s="59"/>
    </row>
    <row r="419" spans="1:1" x14ac:dyDescent="0.25">
      <c r="A419" s="59"/>
    </row>
    <row r="420" spans="1:1" x14ac:dyDescent="0.25">
      <c r="A420" s="59"/>
    </row>
    <row r="421" spans="1:1" x14ac:dyDescent="0.25">
      <c r="A421" s="59"/>
    </row>
    <row r="422" spans="1:1" x14ac:dyDescent="0.25">
      <c r="A422" s="59"/>
    </row>
    <row r="423" spans="1:1" x14ac:dyDescent="0.25">
      <c r="A423" s="59"/>
    </row>
    <row r="424" spans="1:1" x14ac:dyDescent="0.25">
      <c r="A424" s="59"/>
    </row>
    <row r="425" spans="1:1" x14ac:dyDescent="0.25">
      <c r="A425" s="59"/>
    </row>
    <row r="426" spans="1:1" x14ac:dyDescent="0.25">
      <c r="A426" s="59"/>
    </row>
    <row r="427" spans="1:1" x14ac:dyDescent="0.25">
      <c r="A427" s="59"/>
    </row>
    <row r="428" spans="1:1" x14ac:dyDescent="0.25">
      <c r="A428" s="59"/>
    </row>
    <row r="429" spans="1:1" x14ac:dyDescent="0.25">
      <c r="A429" s="59"/>
    </row>
    <row r="430" spans="1:1" x14ac:dyDescent="0.25">
      <c r="A430" s="59"/>
    </row>
    <row r="431" spans="1:1" x14ac:dyDescent="0.25">
      <c r="A431" s="59"/>
    </row>
    <row r="432" spans="1:1" x14ac:dyDescent="0.25">
      <c r="A432" s="59"/>
    </row>
    <row r="433" spans="1:1" x14ac:dyDescent="0.25">
      <c r="A433" s="59"/>
    </row>
    <row r="434" spans="1:1" x14ac:dyDescent="0.25">
      <c r="A434" s="59"/>
    </row>
    <row r="435" spans="1:1" x14ac:dyDescent="0.25">
      <c r="A435" s="59"/>
    </row>
    <row r="436" spans="1:1" x14ac:dyDescent="0.25">
      <c r="A436" s="59"/>
    </row>
    <row r="437" spans="1:1" x14ac:dyDescent="0.25">
      <c r="A437" s="59"/>
    </row>
    <row r="438" spans="1:1" x14ac:dyDescent="0.25">
      <c r="A438" s="59"/>
    </row>
    <row r="439" spans="1:1" x14ac:dyDescent="0.25">
      <c r="A439" s="59"/>
    </row>
    <row r="440" spans="1:1" x14ac:dyDescent="0.25">
      <c r="A440" s="59"/>
    </row>
    <row r="441" spans="1:1" x14ac:dyDescent="0.25">
      <c r="A441" s="59"/>
    </row>
    <row r="442" spans="1:1" x14ac:dyDescent="0.25">
      <c r="A442" s="59"/>
    </row>
    <row r="443" spans="1:1" x14ac:dyDescent="0.25">
      <c r="A443" s="59"/>
    </row>
    <row r="444" spans="1:1" x14ac:dyDescent="0.25">
      <c r="A444" s="59"/>
    </row>
    <row r="445" spans="1:1" x14ac:dyDescent="0.25">
      <c r="A445" s="59"/>
    </row>
    <row r="446" spans="1:1" x14ac:dyDescent="0.25">
      <c r="A446" s="59"/>
    </row>
    <row r="447" spans="1:1" x14ac:dyDescent="0.25">
      <c r="A447" s="59"/>
    </row>
    <row r="448" spans="1:1" x14ac:dyDescent="0.25">
      <c r="A448" s="59"/>
    </row>
    <row r="449" spans="1:1" x14ac:dyDescent="0.25">
      <c r="A449" s="59"/>
    </row>
    <row r="450" spans="1:1" x14ac:dyDescent="0.25">
      <c r="A450" s="59"/>
    </row>
    <row r="451" spans="1:1" x14ac:dyDescent="0.25">
      <c r="A451" s="59"/>
    </row>
    <row r="452" spans="1:1" x14ac:dyDescent="0.25">
      <c r="A452" s="59"/>
    </row>
    <row r="453" spans="1:1" x14ac:dyDescent="0.25">
      <c r="A453" s="59"/>
    </row>
    <row r="454" spans="1:1" x14ac:dyDescent="0.25">
      <c r="A454" s="59"/>
    </row>
    <row r="455" spans="1:1" x14ac:dyDescent="0.25">
      <c r="A455" s="59"/>
    </row>
    <row r="456" spans="1:1" x14ac:dyDescent="0.25">
      <c r="A456" s="59"/>
    </row>
    <row r="457" spans="1:1" x14ac:dyDescent="0.25">
      <c r="A457" s="59"/>
    </row>
    <row r="458" spans="1:1" x14ac:dyDescent="0.25">
      <c r="A458" s="59"/>
    </row>
    <row r="459" spans="1:1" x14ac:dyDescent="0.25">
      <c r="A459" s="59"/>
    </row>
    <row r="460" spans="1:1" x14ac:dyDescent="0.25">
      <c r="A460" s="59"/>
    </row>
    <row r="461" spans="1:1" x14ac:dyDescent="0.25">
      <c r="A461" s="59"/>
    </row>
    <row r="462" spans="1:1" x14ac:dyDescent="0.25">
      <c r="A462" s="59"/>
    </row>
    <row r="463" spans="1:1" x14ac:dyDescent="0.25">
      <c r="A463" s="59"/>
    </row>
    <row r="464" spans="1:1" x14ac:dyDescent="0.25">
      <c r="A464" s="59"/>
    </row>
    <row r="465" spans="1:1" x14ac:dyDescent="0.25">
      <c r="A465" s="59"/>
    </row>
    <row r="466" spans="1:1" x14ac:dyDescent="0.25">
      <c r="A466" s="59"/>
    </row>
    <row r="467" spans="1:1" x14ac:dyDescent="0.25">
      <c r="A467" s="59"/>
    </row>
    <row r="468" spans="1:1" x14ac:dyDescent="0.25">
      <c r="A468" s="59"/>
    </row>
    <row r="469" spans="1:1" x14ac:dyDescent="0.25">
      <c r="A469" s="59"/>
    </row>
    <row r="470" spans="1:1" x14ac:dyDescent="0.25">
      <c r="A470" s="59"/>
    </row>
    <row r="471" spans="1:1" x14ac:dyDescent="0.25">
      <c r="A471" s="59"/>
    </row>
    <row r="472" spans="1:1" x14ac:dyDescent="0.25">
      <c r="A472" s="59"/>
    </row>
    <row r="473" spans="1:1" x14ac:dyDescent="0.25">
      <c r="A473" s="59"/>
    </row>
    <row r="474" spans="1:1" x14ac:dyDescent="0.25">
      <c r="A474" s="59"/>
    </row>
    <row r="475" spans="1:1" x14ac:dyDescent="0.25">
      <c r="A475" s="59"/>
    </row>
    <row r="476" spans="1:1" x14ac:dyDescent="0.25">
      <c r="A476" s="59"/>
    </row>
    <row r="477" spans="1:1" x14ac:dyDescent="0.25">
      <c r="A477" s="59"/>
    </row>
    <row r="478" spans="1:1" x14ac:dyDescent="0.25">
      <c r="A478" s="59"/>
    </row>
    <row r="479" spans="1:1" x14ac:dyDescent="0.25">
      <c r="A479" s="59"/>
    </row>
    <row r="480" spans="1:1" x14ac:dyDescent="0.25">
      <c r="A480" s="59"/>
    </row>
    <row r="481" spans="1:1" x14ac:dyDescent="0.25">
      <c r="A481" s="59"/>
    </row>
    <row r="482" spans="1:1" x14ac:dyDescent="0.25">
      <c r="A482" s="59"/>
    </row>
    <row r="483" spans="1:1" x14ac:dyDescent="0.25">
      <c r="A483" s="59"/>
    </row>
    <row r="484" spans="1:1" x14ac:dyDescent="0.25">
      <c r="A484" s="59"/>
    </row>
    <row r="485" spans="1:1" x14ac:dyDescent="0.25">
      <c r="A485" s="59"/>
    </row>
    <row r="486" spans="1:1" x14ac:dyDescent="0.25">
      <c r="A486" s="59"/>
    </row>
    <row r="487" spans="1:1" x14ac:dyDescent="0.25">
      <c r="A487" s="59"/>
    </row>
    <row r="488" spans="1:1" x14ac:dyDescent="0.25">
      <c r="A488" s="59"/>
    </row>
    <row r="489" spans="1:1" x14ac:dyDescent="0.25">
      <c r="A489" s="59"/>
    </row>
    <row r="490" spans="1:1" x14ac:dyDescent="0.25">
      <c r="A490" s="59"/>
    </row>
    <row r="491" spans="1:1" x14ac:dyDescent="0.25">
      <c r="A491" s="59"/>
    </row>
    <row r="492" spans="1:1" x14ac:dyDescent="0.25">
      <c r="A492" s="59"/>
    </row>
    <row r="493" spans="1:1" x14ac:dyDescent="0.25">
      <c r="A493" s="59"/>
    </row>
    <row r="494" spans="1:1" x14ac:dyDescent="0.25">
      <c r="A494" s="59"/>
    </row>
    <row r="495" spans="1:1" x14ac:dyDescent="0.25">
      <c r="A495" s="59"/>
    </row>
    <row r="496" spans="1:1" x14ac:dyDescent="0.25">
      <c r="A496" s="59"/>
    </row>
    <row r="497" spans="1:1" x14ac:dyDescent="0.25">
      <c r="A497" s="59"/>
    </row>
    <row r="498" spans="1:1" x14ac:dyDescent="0.25">
      <c r="A498" s="59"/>
    </row>
    <row r="499" spans="1:1" x14ac:dyDescent="0.25">
      <c r="A499" s="59"/>
    </row>
    <row r="500" spans="1:1" x14ac:dyDescent="0.25">
      <c r="A500" s="59"/>
    </row>
    <row r="501" spans="1:1" x14ac:dyDescent="0.25">
      <c r="A501" s="59"/>
    </row>
    <row r="502" spans="1:1" x14ac:dyDescent="0.25">
      <c r="A502" s="59"/>
    </row>
    <row r="503" spans="1:1" x14ac:dyDescent="0.25">
      <c r="A503" s="59"/>
    </row>
    <row r="504" spans="1:1" x14ac:dyDescent="0.25">
      <c r="A504" s="59"/>
    </row>
    <row r="505" spans="1:1" x14ac:dyDescent="0.25">
      <c r="A505" s="59"/>
    </row>
    <row r="506" spans="1:1" x14ac:dyDescent="0.25">
      <c r="A506" s="59"/>
    </row>
    <row r="507" spans="1:1" x14ac:dyDescent="0.25">
      <c r="A507" s="59"/>
    </row>
    <row r="508" spans="1:1" x14ac:dyDescent="0.25">
      <c r="A508" s="59"/>
    </row>
    <row r="509" spans="1:1" x14ac:dyDescent="0.25">
      <c r="A509" s="59"/>
    </row>
    <row r="510" spans="1:1" x14ac:dyDescent="0.25">
      <c r="A510" s="59"/>
    </row>
    <row r="511" spans="1:1" x14ac:dyDescent="0.25">
      <c r="A511" s="59"/>
    </row>
    <row r="512" spans="1:1" x14ac:dyDescent="0.25">
      <c r="A512" s="59"/>
    </row>
    <row r="513" spans="1:1" x14ac:dyDescent="0.25">
      <c r="A513" s="59"/>
    </row>
    <row r="514" spans="1:1" x14ac:dyDescent="0.25">
      <c r="A514" s="59"/>
    </row>
    <row r="515" spans="1:1" x14ac:dyDescent="0.25">
      <c r="A515" s="59"/>
    </row>
    <row r="516" spans="1:1" x14ac:dyDescent="0.25">
      <c r="A516" s="59"/>
    </row>
    <row r="517" spans="1:1" x14ac:dyDescent="0.25">
      <c r="A517" s="59"/>
    </row>
    <row r="518" spans="1:1" x14ac:dyDescent="0.25">
      <c r="A518" s="59"/>
    </row>
    <row r="519" spans="1:1" x14ac:dyDescent="0.25">
      <c r="A519" s="59"/>
    </row>
    <row r="520" spans="1:1" x14ac:dyDescent="0.25">
      <c r="A520" s="59"/>
    </row>
    <row r="521" spans="1:1" x14ac:dyDescent="0.25">
      <c r="A521" s="59"/>
    </row>
    <row r="522" spans="1:1" x14ac:dyDescent="0.25">
      <c r="A522" s="59"/>
    </row>
    <row r="523" spans="1:1" x14ac:dyDescent="0.25">
      <c r="A523" s="59"/>
    </row>
    <row r="524" spans="1:1" x14ac:dyDescent="0.25">
      <c r="A524" s="59"/>
    </row>
    <row r="525" spans="1:1" x14ac:dyDescent="0.25">
      <c r="A525" s="59"/>
    </row>
    <row r="526" spans="1:1" x14ac:dyDescent="0.25">
      <c r="A526" s="59"/>
    </row>
    <row r="527" spans="1:1" x14ac:dyDescent="0.25">
      <c r="A527" s="59"/>
    </row>
    <row r="528" spans="1:1" x14ac:dyDescent="0.25">
      <c r="A528" s="59"/>
    </row>
    <row r="529" spans="1:1" x14ac:dyDescent="0.25">
      <c r="A529" s="59"/>
    </row>
    <row r="530" spans="1:1" x14ac:dyDescent="0.25">
      <c r="A530" s="59"/>
    </row>
    <row r="531" spans="1:1" x14ac:dyDescent="0.25">
      <c r="A531" s="59"/>
    </row>
    <row r="532" spans="1:1" x14ac:dyDescent="0.25">
      <c r="A532" s="59"/>
    </row>
    <row r="533" spans="1:1" x14ac:dyDescent="0.25">
      <c r="A533" s="59"/>
    </row>
    <row r="534" spans="1:1" x14ac:dyDescent="0.25">
      <c r="A534" s="59"/>
    </row>
    <row r="535" spans="1:1" x14ac:dyDescent="0.25">
      <c r="A535" s="59"/>
    </row>
    <row r="536" spans="1:1" x14ac:dyDescent="0.25">
      <c r="A536" s="59"/>
    </row>
    <row r="537" spans="1:1" x14ac:dyDescent="0.25">
      <c r="A537" s="59"/>
    </row>
    <row r="538" spans="1:1" x14ac:dyDescent="0.25">
      <c r="A538" s="59"/>
    </row>
    <row r="539" spans="1:1" x14ac:dyDescent="0.25">
      <c r="A539" s="59"/>
    </row>
    <row r="540" spans="1:1" x14ac:dyDescent="0.25">
      <c r="A540" s="59"/>
    </row>
    <row r="541" spans="1:1" x14ac:dyDescent="0.25">
      <c r="A541" s="59"/>
    </row>
    <row r="542" spans="1:1" x14ac:dyDescent="0.25">
      <c r="A542" s="59"/>
    </row>
    <row r="543" spans="1:1" x14ac:dyDescent="0.25">
      <c r="A543" s="59"/>
    </row>
    <row r="544" spans="1:1" x14ac:dyDescent="0.25">
      <c r="A544" s="59"/>
    </row>
    <row r="545" spans="1:1" x14ac:dyDescent="0.25">
      <c r="A545" s="59"/>
    </row>
    <row r="546" spans="1:1" x14ac:dyDescent="0.25">
      <c r="A546" s="59"/>
    </row>
    <row r="547" spans="1:1" x14ac:dyDescent="0.25">
      <c r="A547" s="59"/>
    </row>
    <row r="548" spans="1:1" x14ac:dyDescent="0.25">
      <c r="A548" s="59"/>
    </row>
    <row r="549" spans="1:1" x14ac:dyDescent="0.25">
      <c r="A549" s="59"/>
    </row>
    <row r="550" spans="1:1" x14ac:dyDescent="0.25">
      <c r="A550" s="59"/>
    </row>
    <row r="551" spans="1:1" x14ac:dyDescent="0.25">
      <c r="A551" s="59"/>
    </row>
    <row r="552" spans="1:1" x14ac:dyDescent="0.25">
      <c r="A552" s="59"/>
    </row>
    <row r="553" spans="1:1" x14ac:dyDescent="0.25">
      <c r="A553" s="59"/>
    </row>
    <row r="554" spans="1:1" x14ac:dyDescent="0.25">
      <c r="A554" s="59"/>
    </row>
    <row r="555" spans="1:1" x14ac:dyDescent="0.25">
      <c r="A555" s="59"/>
    </row>
    <row r="556" spans="1:1" x14ac:dyDescent="0.25">
      <c r="A556" s="59"/>
    </row>
    <row r="557" spans="1:1" x14ac:dyDescent="0.25">
      <c r="A557" s="59"/>
    </row>
    <row r="558" spans="1:1" x14ac:dyDescent="0.25">
      <c r="A558" s="59"/>
    </row>
    <row r="559" spans="1:1" x14ac:dyDescent="0.25">
      <c r="A559" s="59"/>
    </row>
    <row r="560" spans="1:1" x14ac:dyDescent="0.25">
      <c r="A560" s="59"/>
    </row>
    <row r="561" spans="1:1" x14ac:dyDescent="0.25">
      <c r="A561" s="59"/>
    </row>
    <row r="562" spans="1:1" x14ac:dyDescent="0.25">
      <c r="A562" s="59"/>
    </row>
    <row r="563" spans="1:1" x14ac:dyDescent="0.25">
      <c r="A563" s="59"/>
    </row>
    <row r="564" spans="1:1" x14ac:dyDescent="0.25">
      <c r="A564" s="59"/>
    </row>
    <row r="565" spans="1:1" x14ac:dyDescent="0.25">
      <c r="A565" s="59"/>
    </row>
    <row r="566" spans="1:1" x14ac:dyDescent="0.25">
      <c r="A566" s="59"/>
    </row>
    <row r="567" spans="1:1" x14ac:dyDescent="0.25">
      <c r="A567" s="59"/>
    </row>
    <row r="568" spans="1:1" x14ac:dyDescent="0.25">
      <c r="A568" s="59"/>
    </row>
    <row r="569" spans="1:1" x14ac:dyDescent="0.25">
      <c r="A569" s="59"/>
    </row>
    <row r="570" spans="1:1" x14ac:dyDescent="0.25">
      <c r="A570" s="59"/>
    </row>
    <row r="571" spans="1:1" x14ac:dyDescent="0.25">
      <c r="A571" s="59"/>
    </row>
    <row r="572" spans="1:1" x14ac:dyDescent="0.25">
      <c r="A572" s="59"/>
    </row>
    <row r="573" spans="1:1" x14ac:dyDescent="0.25">
      <c r="A573" s="59"/>
    </row>
    <row r="574" spans="1:1" x14ac:dyDescent="0.25">
      <c r="A574" s="59"/>
    </row>
    <row r="575" spans="1:1" x14ac:dyDescent="0.25">
      <c r="A575" s="59"/>
    </row>
    <row r="576" spans="1:1" x14ac:dyDescent="0.25">
      <c r="A576" s="59"/>
    </row>
    <row r="577" spans="1:1" x14ac:dyDescent="0.25">
      <c r="A577" s="59"/>
    </row>
    <row r="578" spans="1:1" x14ac:dyDescent="0.25">
      <c r="A578" s="59"/>
    </row>
    <row r="579" spans="1:1" x14ac:dyDescent="0.25">
      <c r="A579" s="59"/>
    </row>
    <row r="580" spans="1:1" x14ac:dyDescent="0.25">
      <c r="A580" s="59"/>
    </row>
    <row r="581" spans="1:1" x14ac:dyDescent="0.25">
      <c r="A581" s="59"/>
    </row>
    <row r="582" spans="1:1" x14ac:dyDescent="0.25">
      <c r="A582" s="59"/>
    </row>
    <row r="583" spans="1:1" x14ac:dyDescent="0.25">
      <c r="A583" s="59"/>
    </row>
    <row r="584" spans="1:1" x14ac:dyDescent="0.25">
      <c r="A584" s="59"/>
    </row>
    <row r="585" spans="1:1" x14ac:dyDescent="0.25">
      <c r="A585" s="59"/>
    </row>
    <row r="586" spans="1:1" x14ac:dyDescent="0.25">
      <c r="A586" s="59"/>
    </row>
    <row r="587" spans="1:1" x14ac:dyDescent="0.25">
      <c r="A587" s="59"/>
    </row>
    <row r="588" spans="1:1" x14ac:dyDescent="0.25">
      <c r="A588" s="59"/>
    </row>
    <row r="589" spans="1:1" x14ac:dyDescent="0.25">
      <c r="A589" s="59"/>
    </row>
    <row r="590" spans="1:1" x14ac:dyDescent="0.25">
      <c r="A590" s="59"/>
    </row>
    <row r="591" spans="1:1" x14ac:dyDescent="0.25">
      <c r="A591" s="59"/>
    </row>
    <row r="592" spans="1:1" x14ac:dyDescent="0.25">
      <c r="A592" s="59"/>
    </row>
    <row r="593" spans="1:1" x14ac:dyDescent="0.25">
      <c r="A593" s="59"/>
    </row>
    <row r="594" spans="1:1" x14ac:dyDescent="0.25">
      <c r="A594" s="59"/>
    </row>
    <row r="595" spans="1:1" x14ac:dyDescent="0.25">
      <c r="A595" s="59"/>
    </row>
    <row r="596" spans="1:1" x14ac:dyDescent="0.25">
      <c r="A596" s="59"/>
    </row>
    <row r="597" spans="1:1" x14ac:dyDescent="0.25">
      <c r="A597" s="59"/>
    </row>
    <row r="598" spans="1:1" x14ac:dyDescent="0.25">
      <c r="A598" s="59"/>
    </row>
    <row r="599" spans="1:1" x14ac:dyDescent="0.25">
      <c r="A599" s="59"/>
    </row>
    <row r="600" spans="1:1" x14ac:dyDescent="0.25">
      <c r="A600" s="59"/>
    </row>
    <row r="601" spans="1:1" x14ac:dyDescent="0.25">
      <c r="A601" s="59"/>
    </row>
    <row r="602" spans="1:1" x14ac:dyDescent="0.25">
      <c r="A602" s="59"/>
    </row>
    <row r="603" spans="1:1" x14ac:dyDescent="0.25">
      <c r="A603" s="59"/>
    </row>
    <row r="604" spans="1:1" x14ac:dyDescent="0.25">
      <c r="A604" s="59"/>
    </row>
    <row r="605" spans="1:1" x14ac:dyDescent="0.25">
      <c r="A605" s="59"/>
    </row>
    <row r="606" spans="1:1" x14ac:dyDescent="0.25">
      <c r="A606" s="59"/>
    </row>
    <row r="607" spans="1:1" x14ac:dyDescent="0.25">
      <c r="A607" s="59"/>
    </row>
    <row r="608" spans="1:1" x14ac:dyDescent="0.25">
      <c r="A608" s="59"/>
    </row>
    <row r="609" spans="1:1" x14ac:dyDescent="0.25">
      <c r="A609" s="59"/>
    </row>
    <row r="610" spans="1:1" x14ac:dyDescent="0.25">
      <c r="A610" s="59"/>
    </row>
    <row r="611" spans="1:1" x14ac:dyDescent="0.25">
      <c r="A611" s="59"/>
    </row>
    <row r="612" spans="1:1" x14ac:dyDescent="0.25">
      <c r="A612" s="59"/>
    </row>
    <row r="613" spans="1:1" x14ac:dyDescent="0.25">
      <c r="A613" s="59"/>
    </row>
    <row r="614" spans="1:1" x14ac:dyDescent="0.25">
      <c r="A614" s="59"/>
    </row>
    <row r="615" spans="1:1" x14ac:dyDescent="0.25">
      <c r="A615" s="59"/>
    </row>
    <row r="616" spans="1:1" x14ac:dyDescent="0.25">
      <c r="A616" s="59"/>
    </row>
    <row r="617" spans="1:1" x14ac:dyDescent="0.25">
      <c r="A617" s="59"/>
    </row>
    <row r="618" spans="1:1" x14ac:dyDescent="0.25">
      <c r="A618" s="59"/>
    </row>
    <row r="619" spans="1:1" x14ac:dyDescent="0.25">
      <c r="A619" s="59"/>
    </row>
    <row r="620" spans="1:1" x14ac:dyDescent="0.25">
      <c r="A620" s="59"/>
    </row>
    <row r="621" spans="1:1" x14ac:dyDescent="0.25">
      <c r="A621" s="59"/>
    </row>
    <row r="622" spans="1:1" x14ac:dyDescent="0.25">
      <c r="A622" s="59"/>
    </row>
    <row r="623" spans="1:1" x14ac:dyDescent="0.25">
      <c r="A623" s="59"/>
    </row>
    <row r="624" spans="1:1" x14ac:dyDescent="0.25">
      <c r="A624" s="59"/>
    </row>
    <row r="625" spans="1:1" x14ac:dyDescent="0.25">
      <c r="A625" s="59"/>
    </row>
    <row r="626" spans="1:1" x14ac:dyDescent="0.25">
      <c r="A626" s="59"/>
    </row>
    <row r="627" spans="1:1" x14ac:dyDescent="0.25">
      <c r="A627" s="59"/>
    </row>
    <row r="628" spans="1:1" x14ac:dyDescent="0.25">
      <c r="A628" s="59"/>
    </row>
    <row r="629" spans="1:1" x14ac:dyDescent="0.25">
      <c r="A629" s="59"/>
    </row>
    <row r="630" spans="1:1" x14ac:dyDescent="0.25">
      <c r="A630" s="59"/>
    </row>
    <row r="631" spans="1:1" x14ac:dyDescent="0.25">
      <c r="A631" s="59"/>
    </row>
    <row r="632" spans="1:1" x14ac:dyDescent="0.25">
      <c r="A632" s="59"/>
    </row>
    <row r="633" spans="1:1" x14ac:dyDescent="0.25">
      <c r="A633" s="59"/>
    </row>
    <row r="634" spans="1:1" x14ac:dyDescent="0.25">
      <c r="A634" s="59"/>
    </row>
    <row r="635" spans="1:1" x14ac:dyDescent="0.25">
      <c r="A635" s="59"/>
    </row>
    <row r="636" spans="1:1" x14ac:dyDescent="0.25">
      <c r="A636" s="59"/>
    </row>
    <row r="637" spans="1:1" x14ac:dyDescent="0.25">
      <c r="A637" s="59"/>
    </row>
    <row r="638" spans="1:1" x14ac:dyDescent="0.25">
      <c r="A638" s="59"/>
    </row>
    <row r="639" spans="1:1" x14ac:dyDescent="0.25">
      <c r="A639" s="59"/>
    </row>
    <row r="640" spans="1:1" x14ac:dyDescent="0.25">
      <c r="A640" s="59"/>
    </row>
    <row r="641" spans="1:1" x14ac:dyDescent="0.25">
      <c r="A641" s="59"/>
    </row>
    <row r="642" spans="1:1" x14ac:dyDescent="0.25">
      <c r="A642" s="59"/>
    </row>
    <row r="643" spans="1:1" x14ac:dyDescent="0.25">
      <c r="A643" s="59"/>
    </row>
    <row r="644" spans="1:1" x14ac:dyDescent="0.25">
      <c r="A644" s="59"/>
    </row>
    <row r="645" spans="1:1" x14ac:dyDescent="0.25">
      <c r="A645" s="59"/>
    </row>
    <row r="646" spans="1:1" x14ac:dyDescent="0.25">
      <c r="A646" s="59"/>
    </row>
    <row r="647" spans="1:1" x14ac:dyDescent="0.25">
      <c r="A647" s="59"/>
    </row>
    <row r="648" spans="1:1" x14ac:dyDescent="0.25">
      <c r="A648" s="59"/>
    </row>
    <row r="649" spans="1:1" x14ac:dyDescent="0.25">
      <c r="A649" s="59"/>
    </row>
    <row r="650" spans="1:1" x14ac:dyDescent="0.25">
      <c r="A650" s="59"/>
    </row>
    <row r="651" spans="1:1" x14ac:dyDescent="0.25">
      <c r="A651" s="59"/>
    </row>
    <row r="652" spans="1:1" x14ac:dyDescent="0.25">
      <c r="A652" s="59"/>
    </row>
    <row r="653" spans="1:1" x14ac:dyDescent="0.25">
      <c r="A653" s="59"/>
    </row>
    <row r="654" spans="1:1" x14ac:dyDescent="0.25">
      <c r="A654" s="59"/>
    </row>
    <row r="655" spans="1:1" x14ac:dyDescent="0.25">
      <c r="A655" s="59"/>
    </row>
    <row r="656" spans="1:1" x14ac:dyDescent="0.25">
      <c r="A656" s="59"/>
    </row>
    <row r="657" spans="1:1" x14ac:dyDescent="0.25">
      <c r="A657" s="59"/>
    </row>
    <row r="658" spans="1:1" x14ac:dyDescent="0.25">
      <c r="A658" s="59"/>
    </row>
    <row r="659" spans="1:1" x14ac:dyDescent="0.25">
      <c r="A659" s="59"/>
    </row>
    <row r="660" spans="1:1" x14ac:dyDescent="0.25">
      <c r="A660" s="59"/>
    </row>
    <row r="661" spans="1:1" x14ac:dyDescent="0.25">
      <c r="A661" s="59"/>
    </row>
    <row r="662" spans="1:1" x14ac:dyDescent="0.25">
      <c r="A662" s="59"/>
    </row>
    <row r="663" spans="1:1" x14ac:dyDescent="0.25">
      <c r="A663" s="59"/>
    </row>
    <row r="664" spans="1:1" x14ac:dyDescent="0.25">
      <c r="A664" s="59"/>
    </row>
    <row r="665" spans="1:1" x14ac:dyDescent="0.25">
      <c r="A665" s="59"/>
    </row>
    <row r="666" spans="1:1" x14ac:dyDescent="0.25">
      <c r="A666" s="59"/>
    </row>
    <row r="667" spans="1:1" x14ac:dyDescent="0.25">
      <c r="A667" s="59"/>
    </row>
    <row r="668" spans="1:1" x14ac:dyDescent="0.25">
      <c r="A668" s="59"/>
    </row>
    <row r="669" spans="1:1" x14ac:dyDescent="0.25">
      <c r="A669" s="59"/>
    </row>
    <row r="670" spans="1:1" x14ac:dyDescent="0.25">
      <c r="A670" s="59"/>
    </row>
    <row r="671" spans="1:1" x14ac:dyDescent="0.25">
      <c r="A671" s="59"/>
    </row>
    <row r="672" spans="1:1" x14ac:dyDescent="0.25">
      <c r="A672" s="59"/>
    </row>
    <row r="673" spans="1:1" x14ac:dyDescent="0.25">
      <c r="A673" s="59"/>
    </row>
    <row r="674" spans="1:1" x14ac:dyDescent="0.25">
      <c r="A674" s="59"/>
    </row>
    <row r="675" spans="1:1" x14ac:dyDescent="0.25">
      <c r="A675" s="59"/>
    </row>
    <row r="676" spans="1:1" x14ac:dyDescent="0.25">
      <c r="A676" s="59"/>
    </row>
    <row r="677" spans="1:1" x14ac:dyDescent="0.25">
      <c r="A677" s="59"/>
    </row>
    <row r="678" spans="1:1" x14ac:dyDescent="0.25">
      <c r="A678" s="59"/>
    </row>
    <row r="679" spans="1:1" x14ac:dyDescent="0.25">
      <c r="A679" s="59"/>
    </row>
    <row r="680" spans="1:1" x14ac:dyDescent="0.25">
      <c r="A680" s="59"/>
    </row>
    <row r="681" spans="1:1" x14ac:dyDescent="0.25">
      <c r="A681" s="59"/>
    </row>
    <row r="682" spans="1:1" x14ac:dyDescent="0.25">
      <c r="A682" s="59"/>
    </row>
    <row r="683" spans="1:1" x14ac:dyDescent="0.25">
      <c r="A683" s="59"/>
    </row>
    <row r="684" spans="1:1" x14ac:dyDescent="0.25">
      <c r="A684" s="59"/>
    </row>
    <row r="685" spans="1:1" x14ac:dyDescent="0.25">
      <c r="A685" s="59"/>
    </row>
    <row r="686" spans="1:1" x14ac:dyDescent="0.25">
      <c r="A686" s="59"/>
    </row>
    <row r="687" spans="1:1" x14ac:dyDescent="0.25">
      <c r="A687" s="59"/>
    </row>
    <row r="688" spans="1:1" x14ac:dyDescent="0.25">
      <c r="A688" s="59"/>
    </row>
    <row r="689" spans="1:1" x14ac:dyDescent="0.25">
      <c r="A689" s="59"/>
    </row>
    <row r="690" spans="1:1" x14ac:dyDescent="0.25">
      <c r="A690" s="59"/>
    </row>
    <row r="691" spans="1:1" x14ac:dyDescent="0.25">
      <c r="A691" s="59"/>
    </row>
    <row r="692" spans="1:1" x14ac:dyDescent="0.25">
      <c r="A692" s="59"/>
    </row>
    <row r="693" spans="1:1" x14ac:dyDescent="0.25">
      <c r="A693" s="59"/>
    </row>
    <row r="694" spans="1:1" x14ac:dyDescent="0.25">
      <c r="A694" s="59"/>
    </row>
    <row r="695" spans="1:1" x14ac:dyDescent="0.25">
      <c r="A695" s="59"/>
    </row>
    <row r="696" spans="1:1" x14ac:dyDescent="0.25">
      <c r="A696" s="59"/>
    </row>
    <row r="697" spans="1:1" x14ac:dyDescent="0.25">
      <c r="A697" s="59"/>
    </row>
    <row r="698" spans="1:1" x14ac:dyDescent="0.25">
      <c r="A698" s="59"/>
    </row>
    <row r="699" spans="1:1" x14ac:dyDescent="0.25">
      <c r="A699" s="59"/>
    </row>
    <row r="700" spans="1:1" x14ac:dyDescent="0.25">
      <c r="A700" s="59"/>
    </row>
    <row r="701" spans="1:1" x14ac:dyDescent="0.25">
      <c r="A701" s="59"/>
    </row>
    <row r="702" spans="1:1" x14ac:dyDescent="0.25">
      <c r="A702" s="59"/>
    </row>
    <row r="703" spans="1:1" x14ac:dyDescent="0.25">
      <c r="A703" s="59"/>
    </row>
    <row r="704" spans="1:1" x14ac:dyDescent="0.25">
      <c r="A704" s="59"/>
    </row>
    <row r="705" spans="1:1" x14ac:dyDescent="0.25">
      <c r="A705" s="59"/>
    </row>
    <row r="706" spans="1:1" x14ac:dyDescent="0.25">
      <c r="A706" s="59"/>
    </row>
    <row r="707" spans="1:1" x14ac:dyDescent="0.25">
      <c r="A707" s="59"/>
    </row>
    <row r="708" spans="1:1" x14ac:dyDescent="0.25">
      <c r="A708" s="59"/>
    </row>
    <row r="709" spans="1:1" x14ac:dyDescent="0.25">
      <c r="A709" s="59"/>
    </row>
    <row r="710" spans="1:1" x14ac:dyDescent="0.25">
      <c r="A710" s="59"/>
    </row>
    <row r="711" spans="1:1" x14ac:dyDescent="0.25">
      <c r="A711" s="59"/>
    </row>
    <row r="712" spans="1:1" x14ac:dyDescent="0.25">
      <c r="A712" s="59"/>
    </row>
    <row r="713" spans="1:1" x14ac:dyDescent="0.25">
      <c r="A713" s="59"/>
    </row>
    <row r="714" spans="1:1" x14ac:dyDescent="0.25">
      <c r="A714" s="59"/>
    </row>
    <row r="715" spans="1:1" x14ac:dyDescent="0.25">
      <c r="A715" s="59"/>
    </row>
    <row r="716" spans="1:1" x14ac:dyDescent="0.25">
      <c r="A716" s="59"/>
    </row>
    <row r="717" spans="1:1" x14ac:dyDescent="0.25">
      <c r="A717" s="59"/>
    </row>
    <row r="718" spans="1:1" x14ac:dyDescent="0.25">
      <c r="A718" s="59"/>
    </row>
    <row r="719" spans="1:1" x14ac:dyDescent="0.25">
      <c r="A719" s="59"/>
    </row>
    <row r="720" spans="1:1" x14ac:dyDescent="0.25">
      <c r="A720" s="59"/>
    </row>
    <row r="721" spans="1:1" x14ac:dyDescent="0.25">
      <c r="A721" s="59"/>
    </row>
    <row r="722" spans="1:1" x14ac:dyDescent="0.25">
      <c r="A722" s="59"/>
    </row>
    <row r="723" spans="1:1" x14ac:dyDescent="0.25">
      <c r="A723" s="59"/>
    </row>
    <row r="724" spans="1:1" x14ac:dyDescent="0.25">
      <c r="A724" s="59"/>
    </row>
    <row r="725" spans="1:1" x14ac:dyDescent="0.25">
      <c r="A725" s="59"/>
    </row>
    <row r="726" spans="1:1" x14ac:dyDescent="0.25">
      <c r="A726" s="59"/>
    </row>
    <row r="727" spans="1:1" x14ac:dyDescent="0.25">
      <c r="A727" s="59"/>
    </row>
    <row r="728" spans="1:1" x14ac:dyDescent="0.25">
      <c r="A728" s="59"/>
    </row>
    <row r="729" spans="1:1" x14ac:dyDescent="0.25">
      <c r="A729" s="59"/>
    </row>
    <row r="730" spans="1:1" x14ac:dyDescent="0.25">
      <c r="A730" s="59"/>
    </row>
    <row r="731" spans="1:1" x14ac:dyDescent="0.25">
      <c r="A731" s="59"/>
    </row>
    <row r="732" spans="1:1" x14ac:dyDescent="0.25">
      <c r="A732" s="59"/>
    </row>
    <row r="733" spans="1:1" x14ac:dyDescent="0.25">
      <c r="A733" s="59"/>
    </row>
    <row r="734" spans="1:1" x14ac:dyDescent="0.25">
      <c r="A734" s="59"/>
    </row>
    <row r="735" spans="1:1" x14ac:dyDescent="0.25">
      <c r="A735" s="59"/>
    </row>
    <row r="736" spans="1:1" x14ac:dyDescent="0.25">
      <c r="A736" s="59"/>
    </row>
    <row r="737" spans="1:1" x14ac:dyDescent="0.25">
      <c r="A737" s="59"/>
    </row>
    <row r="738" spans="1:1" x14ac:dyDescent="0.25">
      <c r="A738" s="59"/>
    </row>
    <row r="739" spans="1:1" x14ac:dyDescent="0.25">
      <c r="A739" s="59"/>
    </row>
    <row r="740" spans="1:1" x14ac:dyDescent="0.25">
      <c r="A740" s="59"/>
    </row>
    <row r="741" spans="1:1" x14ac:dyDescent="0.25">
      <c r="A741" s="59"/>
    </row>
    <row r="742" spans="1:1" x14ac:dyDescent="0.25">
      <c r="A742" s="59"/>
    </row>
    <row r="743" spans="1:1" x14ac:dyDescent="0.25">
      <c r="A743" s="59"/>
    </row>
    <row r="744" spans="1:1" x14ac:dyDescent="0.25">
      <c r="A744" s="59"/>
    </row>
    <row r="745" spans="1:1" x14ac:dyDescent="0.25">
      <c r="A745" s="59"/>
    </row>
    <row r="746" spans="1:1" x14ac:dyDescent="0.25">
      <c r="A746" s="59"/>
    </row>
    <row r="747" spans="1:1" x14ac:dyDescent="0.25">
      <c r="A747" s="59"/>
    </row>
    <row r="748" spans="1:1" x14ac:dyDescent="0.25">
      <c r="A748" s="59"/>
    </row>
    <row r="749" spans="1:1" x14ac:dyDescent="0.25">
      <c r="A749" s="59"/>
    </row>
    <row r="750" spans="1:1" x14ac:dyDescent="0.25">
      <c r="A750" s="59"/>
    </row>
    <row r="751" spans="1:1" x14ac:dyDescent="0.25">
      <c r="A751" s="59"/>
    </row>
    <row r="752" spans="1:1" x14ac:dyDescent="0.25">
      <c r="A752" s="59"/>
    </row>
    <row r="753" spans="1:1" x14ac:dyDescent="0.25">
      <c r="A753" s="59"/>
    </row>
    <row r="754" spans="1:1" x14ac:dyDescent="0.25">
      <c r="A754" s="59"/>
    </row>
    <row r="755" spans="1:1" x14ac:dyDescent="0.25">
      <c r="A755" s="59"/>
    </row>
    <row r="756" spans="1:1" x14ac:dyDescent="0.25">
      <c r="A756" s="59"/>
    </row>
    <row r="757" spans="1:1" x14ac:dyDescent="0.25">
      <c r="A757" s="59"/>
    </row>
    <row r="758" spans="1:1" x14ac:dyDescent="0.25">
      <c r="A758" s="59"/>
    </row>
    <row r="759" spans="1:1" x14ac:dyDescent="0.25">
      <c r="A759" s="59"/>
    </row>
    <row r="760" spans="1:1" x14ac:dyDescent="0.25">
      <c r="A760" s="59"/>
    </row>
    <row r="761" spans="1:1" x14ac:dyDescent="0.25">
      <c r="A761" s="59"/>
    </row>
    <row r="762" spans="1:1" x14ac:dyDescent="0.25">
      <c r="A762" s="59"/>
    </row>
    <row r="763" spans="1:1" x14ac:dyDescent="0.25">
      <c r="A763" s="59"/>
    </row>
    <row r="764" spans="1:1" x14ac:dyDescent="0.25">
      <c r="A764" s="59"/>
    </row>
    <row r="765" spans="1:1" x14ac:dyDescent="0.25">
      <c r="A765" s="59"/>
    </row>
    <row r="766" spans="1:1" x14ac:dyDescent="0.25">
      <c r="A766" s="59"/>
    </row>
    <row r="767" spans="1:1" x14ac:dyDescent="0.25">
      <c r="A767" s="59"/>
    </row>
    <row r="768" spans="1:1" x14ac:dyDescent="0.25">
      <c r="A768" s="59"/>
    </row>
    <row r="769" spans="1:1" x14ac:dyDescent="0.25">
      <c r="A769" s="59"/>
    </row>
    <row r="770" spans="1:1" x14ac:dyDescent="0.25">
      <c r="A770" s="59"/>
    </row>
    <row r="771" spans="1:1" x14ac:dyDescent="0.25">
      <c r="A771" s="59"/>
    </row>
    <row r="772" spans="1:1" x14ac:dyDescent="0.25">
      <c r="A772" s="59"/>
    </row>
    <row r="773" spans="1:1" x14ac:dyDescent="0.25">
      <c r="A773" s="59"/>
    </row>
    <row r="774" spans="1:1" x14ac:dyDescent="0.25">
      <c r="A774" s="59"/>
    </row>
    <row r="775" spans="1:1" x14ac:dyDescent="0.25">
      <c r="A775" s="59"/>
    </row>
    <row r="776" spans="1:1" x14ac:dyDescent="0.25">
      <c r="A776" s="59"/>
    </row>
    <row r="777" spans="1:1" x14ac:dyDescent="0.25">
      <c r="A777" s="59"/>
    </row>
    <row r="778" spans="1:1" x14ac:dyDescent="0.25">
      <c r="A778" s="59"/>
    </row>
    <row r="779" spans="1:1" x14ac:dyDescent="0.25">
      <c r="A779" s="59"/>
    </row>
    <row r="780" spans="1:1" x14ac:dyDescent="0.25">
      <c r="A780" s="59"/>
    </row>
    <row r="781" spans="1:1" x14ac:dyDescent="0.25">
      <c r="A781" s="59"/>
    </row>
    <row r="782" spans="1:1" x14ac:dyDescent="0.25">
      <c r="A782" s="59"/>
    </row>
    <row r="783" spans="1:1" x14ac:dyDescent="0.25">
      <c r="A783" s="59"/>
    </row>
    <row r="784" spans="1:1" x14ac:dyDescent="0.25">
      <c r="A784" s="59"/>
    </row>
    <row r="785" spans="1:1" x14ac:dyDescent="0.25">
      <c r="A785" s="59"/>
    </row>
    <row r="786" spans="1:1" x14ac:dyDescent="0.25">
      <c r="A786" s="59"/>
    </row>
    <row r="787" spans="1:1" x14ac:dyDescent="0.25">
      <c r="A787" s="59"/>
    </row>
    <row r="788" spans="1:1" x14ac:dyDescent="0.25">
      <c r="A788" s="59"/>
    </row>
    <row r="789" spans="1:1" x14ac:dyDescent="0.25">
      <c r="A789" s="59"/>
    </row>
    <row r="790" spans="1:1" x14ac:dyDescent="0.25">
      <c r="A790" s="59"/>
    </row>
    <row r="791" spans="1:1" x14ac:dyDescent="0.25">
      <c r="A791" s="59"/>
    </row>
    <row r="792" spans="1:1" x14ac:dyDescent="0.25">
      <c r="A792" s="59"/>
    </row>
    <row r="793" spans="1:1" x14ac:dyDescent="0.25">
      <c r="A793" s="59"/>
    </row>
    <row r="794" spans="1:1" x14ac:dyDescent="0.25">
      <c r="A794" s="59"/>
    </row>
    <row r="795" spans="1:1" x14ac:dyDescent="0.25">
      <c r="A795" s="59"/>
    </row>
    <row r="796" spans="1:1" x14ac:dyDescent="0.25">
      <c r="A796" s="59"/>
    </row>
    <row r="797" spans="1:1" x14ac:dyDescent="0.25">
      <c r="A797" s="59"/>
    </row>
    <row r="798" spans="1:1" x14ac:dyDescent="0.25">
      <c r="A798" s="59"/>
    </row>
    <row r="799" spans="1:1" x14ac:dyDescent="0.25">
      <c r="A799" s="59"/>
    </row>
    <row r="800" spans="1:1" x14ac:dyDescent="0.25">
      <c r="A800" s="59"/>
    </row>
    <row r="801" spans="1:1" x14ac:dyDescent="0.25">
      <c r="A801" s="59"/>
    </row>
    <row r="802" spans="1:1" x14ac:dyDescent="0.25">
      <c r="A802" s="59"/>
    </row>
    <row r="803" spans="1:1" x14ac:dyDescent="0.25">
      <c r="A803" s="59"/>
    </row>
    <row r="804" spans="1:1" x14ac:dyDescent="0.25">
      <c r="A804" s="59"/>
    </row>
    <row r="805" spans="1:1" x14ac:dyDescent="0.25">
      <c r="A805" s="59"/>
    </row>
    <row r="806" spans="1:1" x14ac:dyDescent="0.25">
      <c r="A806" s="59"/>
    </row>
    <row r="807" spans="1:1" x14ac:dyDescent="0.25">
      <c r="A807" s="59"/>
    </row>
    <row r="808" spans="1:1" x14ac:dyDescent="0.25">
      <c r="A808" s="59"/>
    </row>
    <row r="809" spans="1:1" x14ac:dyDescent="0.25">
      <c r="A809" s="59"/>
    </row>
    <row r="810" spans="1:1" x14ac:dyDescent="0.25">
      <c r="A810" s="59"/>
    </row>
    <row r="811" spans="1:1" x14ac:dyDescent="0.25">
      <c r="A811" s="59"/>
    </row>
    <row r="812" spans="1:1" x14ac:dyDescent="0.25">
      <c r="A812" s="59"/>
    </row>
    <row r="813" spans="1:1" x14ac:dyDescent="0.25">
      <c r="A813" s="59"/>
    </row>
    <row r="814" spans="1:1" x14ac:dyDescent="0.25">
      <c r="A814" s="59"/>
    </row>
    <row r="815" spans="1:1" x14ac:dyDescent="0.25">
      <c r="A815" s="59"/>
    </row>
    <row r="816" spans="1:1" x14ac:dyDescent="0.25">
      <c r="A816" s="59"/>
    </row>
    <row r="817" spans="1:1" x14ac:dyDescent="0.25">
      <c r="A817" s="59"/>
    </row>
    <row r="818" spans="1:1" x14ac:dyDescent="0.25">
      <c r="A818" s="59"/>
    </row>
    <row r="819" spans="1:1" x14ac:dyDescent="0.25">
      <c r="A819" s="59"/>
    </row>
    <row r="820" spans="1:1" x14ac:dyDescent="0.25">
      <c r="A820" s="59"/>
    </row>
    <row r="821" spans="1:1" x14ac:dyDescent="0.25">
      <c r="A821" s="59"/>
    </row>
    <row r="822" spans="1:1" x14ac:dyDescent="0.25">
      <c r="A822" s="59"/>
    </row>
    <row r="823" spans="1:1" x14ac:dyDescent="0.25">
      <c r="A823" s="59"/>
    </row>
    <row r="824" spans="1:1" x14ac:dyDescent="0.25">
      <c r="A824" s="59"/>
    </row>
    <row r="825" spans="1:1" x14ac:dyDescent="0.25">
      <c r="A825" s="59"/>
    </row>
    <row r="826" spans="1:1" x14ac:dyDescent="0.25">
      <c r="A826" s="59"/>
    </row>
    <row r="827" spans="1:1" x14ac:dyDescent="0.25">
      <c r="A827" s="59"/>
    </row>
    <row r="828" spans="1:1" x14ac:dyDescent="0.25">
      <c r="A828" s="59"/>
    </row>
    <row r="829" spans="1:1" x14ac:dyDescent="0.25">
      <c r="A829" s="59"/>
    </row>
    <row r="830" spans="1:1" x14ac:dyDescent="0.25">
      <c r="A830" s="59"/>
    </row>
    <row r="831" spans="1:1" x14ac:dyDescent="0.25">
      <c r="A831" s="59"/>
    </row>
    <row r="832" spans="1:1" x14ac:dyDescent="0.25">
      <c r="A832" s="59"/>
    </row>
    <row r="833" spans="1:1" x14ac:dyDescent="0.25">
      <c r="A833" s="59"/>
    </row>
    <row r="834" spans="1:1" x14ac:dyDescent="0.25">
      <c r="A834" s="59"/>
    </row>
    <row r="835" spans="1:1" x14ac:dyDescent="0.25">
      <c r="A835" s="59"/>
    </row>
    <row r="836" spans="1:1" x14ac:dyDescent="0.25">
      <c r="A836" s="59"/>
    </row>
    <row r="837" spans="1:1" x14ac:dyDescent="0.25">
      <c r="A837" s="59"/>
    </row>
    <row r="838" spans="1:1" x14ac:dyDescent="0.25">
      <c r="A838" s="59"/>
    </row>
    <row r="839" spans="1:1" x14ac:dyDescent="0.25">
      <c r="A839" s="59"/>
    </row>
    <row r="840" spans="1:1" x14ac:dyDescent="0.25">
      <c r="A840" s="59"/>
    </row>
    <row r="841" spans="1:1" x14ac:dyDescent="0.25">
      <c r="A841" s="59"/>
    </row>
    <row r="842" spans="1:1" x14ac:dyDescent="0.25">
      <c r="A842" s="59"/>
    </row>
    <row r="843" spans="1:1" x14ac:dyDescent="0.25">
      <c r="A843" s="59"/>
    </row>
    <row r="844" spans="1:1" x14ac:dyDescent="0.25">
      <c r="A844" s="59"/>
    </row>
    <row r="845" spans="1:1" x14ac:dyDescent="0.25">
      <c r="A845" s="59"/>
    </row>
    <row r="846" spans="1:1" x14ac:dyDescent="0.25">
      <c r="A846" s="59"/>
    </row>
    <row r="847" spans="1:1" x14ac:dyDescent="0.25">
      <c r="A847" s="59"/>
    </row>
    <row r="848" spans="1:1" x14ac:dyDescent="0.25">
      <c r="A848" s="59"/>
    </row>
    <row r="849" spans="1:1" x14ac:dyDescent="0.25">
      <c r="A849" s="59"/>
    </row>
    <row r="850" spans="1:1" x14ac:dyDescent="0.25">
      <c r="A850" s="59"/>
    </row>
    <row r="851" spans="1:1" x14ac:dyDescent="0.25">
      <c r="A851" s="59"/>
    </row>
    <row r="852" spans="1:1" x14ac:dyDescent="0.25">
      <c r="A852" s="59"/>
    </row>
    <row r="853" spans="1:1" x14ac:dyDescent="0.25">
      <c r="A853" s="59"/>
    </row>
    <row r="854" spans="1:1" x14ac:dyDescent="0.25">
      <c r="A854" s="59"/>
    </row>
    <row r="855" spans="1:1" x14ac:dyDescent="0.25">
      <c r="A855" s="59"/>
    </row>
    <row r="856" spans="1:1" x14ac:dyDescent="0.25">
      <c r="A856" s="59"/>
    </row>
    <row r="857" spans="1:1" x14ac:dyDescent="0.25">
      <c r="A857" s="59"/>
    </row>
    <row r="858" spans="1:1" x14ac:dyDescent="0.25">
      <c r="A858" s="59"/>
    </row>
    <row r="859" spans="1:1" x14ac:dyDescent="0.25">
      <c r="A859" s="59"/>
    </row>
    <row r="860" spans="1:1" x14ac:dyDescent="0.25">
      <c r="A860" s="59"/>
    </row>
    <row r="861" spans="1:1" x14ac:dyDescent="0.25">
      <c r="A861" s="59"/>
    </row>
    <row r="862" spans="1:1" x14ac:dyDescent="0.25">
      <c r="A862" s="59"/>
    </row>
    <row r="863" spans="1:1" x14ac:dyDescent="0.25">
      <c r="A863" s="59"/>
    </row>
    <row r="864" spans="1:1" x14ac:dyDescent="0.25">
      <c r="A864" s="59"/>
    </row>
    <row r="865" spans="1:1" x14ac:dyDescent="0.25">
      <c r="A865" s="59"/>
    </row>
    <row r="866" spans="1:1" x14ac:dyDescent="0.25">
      <c r="A866" s="59"/>
    </row>
    <row r="867" spans="1:1" x14ac:dyDescent="0.25">
      <c r="A867" s="59"/>
    </row>
    <row r="868" spans="1:1" x14ac:dyDescent="0.25">
      <c r="A868" s="59"/>
    </row>
    <row r="869" spans="1:1" x14ac:dyDescent="0.25">
      <c r="A869" s="59"/>
    </row>
    <row r="870" spans="1:1" x14ac:dyDescent="0.25">
      <c r="A870" s="59"/>
    </row>
    <row r="871" spans="1:1" x14ac:dyDescent="0.25">
      <c r="A871" s="59"/>
    </row>
    <row r="872" spans="1:1" x14ac:dyDescent="0.25">
      <c r="A872" s="59"/>
    </row>
    <row r="873" spans="1:1" x14ac:dyDescent="0.25">
      <c r="A873" s="59"/>
    </row>
    <row r="874" spans="1:1" x14ac:dyDescent="0.25">
      <c r="A874" s="59"/>
    </row>
    <row r="875" spans="1:1" x14ac:dyDescent="0.25">
      <c r="A875" s="59"/>
    </row>
    <row r="876" spans="1:1" x14ac:dyDescent="0.25">
      <c r="A876" s="59"/>
    </row>
    <row r="877" spans="1:1" x14ac:dyDescent="0.25">
      <c r="A877" s="59"/>
    </row>
    <row r="878" spans="1:1" x14ac:dyDescent="0.25">
      <c r="A878" s="59"/>
    </row>
    <row r="879" spans="1:1" x14ac:dyDescent="0.25">
      <c r="A879" s="59"/>
    </row>
    <row r="880" spans="1:1" x14ac:dyDescent="0.25">
      <c r="A880" s="59"/>
    </row>
    <row r="881" spans="1:1" x14ac:dyDescent="0.25">
      <c r="A881" s="59"/>
    </row>
    <row r="882" spans="1:1" x14ac:dyDescent="0.25">
      <c r="A882" s="59"/>
    </row>
    <row r="883" spans="1:1" x14ac:dyDescent="0.25">
      <c r="A883" s="59"/>
    </row>
    <row r="884" spans="1:1" x14ac:dyDescent="0.25">
      <c r="A884" s="59"/>
    </row>
    <row r="885" spans="1:1" x14ac:dyDescent="0.25">
      <c r="A885" s="59"/>
    </row>
    <row r="886" spans="1:1" x14ac:dyDescent="0.25">
      <c r="A886" s="59"/>
    </row>
    <row r="887" spans="1:1" x14ac:dyDescent="0.25">
      <c r="A887" s="59"/>
    </row>
    <row r="888" spans="1:1" x14ac:dyDescent="0.25">
      <c r="A888" s="59"/>
    </row>
    <row r="889" spans="1:1" x14ac:dyDescent="0.25">
      <c r="A889" s="59"/>
    </row>
    <row r="890" spans="1:1" x14ac:dyDescent="0.25">
      <c r="A890" s="59"/>
    </row>
    <row r="891" spans="1:1" x14ac:dyDescent="0.25">
      <c r="A891" s="59"/>
    </row>
    <row r="892" spans="1:1" x14ac:dyDescent="0.25">
      <c r="A892" s="59"/>
    </row>
    <row r="893" spans="1:1" x14ac:dyDescent="0.25">
      <c r="A893" s="59"/>
    </row>
    <row r="894" spans="1:1" x14ac:dyDescent="0.25">
      <c r="A894" s="59"/>
    </row>
    <row r="895" spans="1:1" x14ac:dyDescent="0.25">
      <c r="A895" s="59"/>
    </row>
    <row r="896" spans="1:1" x14ac:dyDescent="0.25">
      <c r="A896" s="59"/>
    </row>
    <row r="897" spans="1:1" x14ac:dyDescent="0.25">
      <c r="A897" s="59"/>
    </row>
    <row r="898" spans="1:1" x14ac:dyDescent="0.25">
      <c r="A898" s="59"/>
    </row>
    <row r="899" spans="1:1" x14ac:dyDescent="0.25">
      <c r="A899" s="59"/>
    </row>
    <row r="900" spans="1:1" x14ac:dyDescent="0.25">
      <c r="A900" s="59"/>
    </row>
    <row r="901" spans="1:1" x14ac:dyDescent="0.25">
      <c r="A901" s="59"/>
    </row>
    <row r="902" spans="1:1" x14ac:dyDescent="0.25">
      <c r="A902" s="59"/>
    </row>
    <row r="903" spans="1:1" x14ac:dyDescent="0.25">
      <c r="A903" s="59"/>
    </row>
    <row r="904" spans="1:1" x14ac:dyDescent="0.25">
      <c r="A904" s="59"/>
    </row>
    <row r="905" spans="1:1" x14ac:dyDescent="0.25">
      <c r="A905" s="59"/>
    </row>
    <row r="906" spans="1:1" x14ac:dyDescent="0.25">
      <c r="A906" s="59"/>
    </row>
    <row r="907" spans="1:1" x14ac:dyDescent="0.25">
      <c r="A907" s="59"/>
    </row>
    <row r="908" spans="1:1" x14ac:dyDescent="0.25">
      <c r="A908" s="59"/>
    </row>
    <row r="909" spans="1:1" x14ac:dyDescent="0.25">
      <c r="A909" s="59"/>
    </row>
    <row r="910" spans="1:1" x14ac:dyDescent="0.25">
      <c r="A910" s="59"/>
    </row>
    <row r="911" spans="1:1" x14ac:dyDescent="0.25">
      <c r="A911" s="59"/>
    </row>
    <row r="912" spans="1:1" x14ac:dyDescent="0.25">
      <c r="A912" s="59"/>
    </row>
    <row r="913" spans="1:1" x14ac:dyDescent="0.25">
      <c r="A913" s="59"/>
    </row>
    <row r="914" spans="1:1" x14ac:dyDescent="0.25">
      <c r="A914" s="59"/>
    </row>
    <row r="915" spans="1:1" x14ac:dyDescent="0.25">
      <c r="A915" s="59"/>
    </row>
    <row r="916" spans="1:1" x14ac:dyDescent="0.25">
      <c r="A916" s="59"/>
    </row>
    <row r="917" spans="1:1" x14ac:dyDescent="0.25">
      <c r="A917" s="59"/>
    </row>
    <row r="918" spans="1:1" x14ac:dyDescent="0.25">
      <c r="A918" s="59"/>
    </row>
    <row r="919" spans="1:1" x14ac:dyDescent="0.25">
      <c r="A919" s="59"/>
    </row>
    <row r="920" spans="1:1" x14ac:dyDescent="0.25">
      <c r="A920" s="59"/>
    </row>
    <row r="921" spans="1:1" x14ac:dyDescent="0.25">
      <c r="A921" s="59"/>
    </row>
    <row r="922" spans="1:1" x14ac:dyDescent="0.25">
      <c r="A922" s="59"/>
    </row>
    <row r="923" spans="1:1" x14ac:dyDescent="0.25">
      <c r="A923" s="59"/>
    </row>
    <row r="924" spans="1:1" x14ac:dyDescent="0.25">
      <c r="A924" s="59"/>
    </row>
    <row r="925" spans="1:1" x14ac:dyDescent="0.25">
      <c r="A925" s="59"/>
    </row>
    <row r="926" spans="1:1" x14ac:dyDescent="0.25">
      <c r="A926" s="59"/>
    </row>
    <row r="927" spans="1:1" x14ac:dyDescent="0.25">
      <c r="A927" s="59"/>
    </row>
    <row r="928" spans="1:1" x14ac:dyDescent="0.25">
      <c r="A928" s="59"/>
    </row>
    <row r="929" spans="1:1" x14ac:dyDescent="0.25">
      <c r="A929" s="59"/>
    </row>
    <row r="930" spans="1:1" x14ac:dyDescent="0.25">
      <c r="A930" s="59"/>
    </row>
    <row r="931" spans="1:1" x14ac:dyDescent="0.25">
      <c r="A931" s="59"/>
    </row>
    <row r="932" spans="1:1" x14ac:dyDescent="0.25">
      <c r="A932" s="59"/>
    </row>
    <row r="933" spans="1:1" x14ac:dyDescent="0.25">
      <c r="A933" s="59"/>
    </row>
    <row r="934" spans="1:1" x14ac:dyDescent="0.25">
      <c r="A934" s="59"/>
    </row>
    <row r="935" spans="1:1" x14ac:dyDescent="0.25">
      <c r="A935" s="59"/>
    </row>
    <row r="936" spans="1:1" x14ac:dyDescent="0.25">
      <c r="A936" s="59"/>
    </row>
    <row r="937" spans="1:1" x14ac:dyDescent="0.25">
      <c r="A937" s="59"/>
    </row>
    <row r="938" spans="1:1" x14ac:dyDescent="0.25">
      <c r="A938" s="59"/>
    </row>
    <row r="939" spans="1:1" x14ac:dyDescent="0.25">
      <c r="A939" s="59"/>
    </row>
    <row r="940" spans="1:1" x14ac:dyDescent="0.25">
      <c r="A940" s="59"/>
    </row>
    <row r="941" spans="1:1" x14ac:dyDescent="0.25">
      <c r="A941" s="59"/>
    </row>
    <row r="942" spans="1:1" x14ac:dyDescent="0.25">
      <c r="A942" s="59"/>
    </row>
    <row r="943" spans="1:1" x14ac:dyDescent="0.25">
      <c r="A943" s="59"/>
    </row>
    <row r="944" spans="1:1" x14ac:dyDescent="0.25">
      <c r="A944" s="59"/>
    </row>
    <row r="945" spans="1:1" x14ac:dyDescent="0.25">
      <c r="A945" s="59"/>
    </row>
    <row r="946" spans="1:1" x14ac:dyDescent="0.25">
      <c r="A946" s="59"/>
    </row>
    <row r="947" spans="1:1" x14ac:dyDescent="0.25">
      <c r="A947" s="59"/>
    </row>
    <row r="948" spans="1:1" x14ac:dyDescent="0.25">
      <c r="A948" s="59"/>
    </row>
    <row r="949" spans="1:1" x14ac:dyDescent="0.25">
      <c r="A949" s="59"/>
    </row>
    <row r="950" spans="1:1" x14ac:dyDescent="0.25">
      <c r="A950" s="59"/>
    </row>
    <row r="951" spans="1:1" x14ac:dyDescent="0.25">
      <c r="A951" s="59"/>
    </row>
    <row r="952" spans="1:1" x14ac:dyDescent="0.25">
      <c r="A952" s="59"/>
    </row>
    <row r="953" spans="1:1" x14ac:dyDescent="0.25">
      <c r="A953" s="59"/>
    </row>
    <row r="954" spans="1:1" x14ac:dyDescent="0.25">
      <c r="A954" s="59"/>
    </row>
    <row r="955" spans="1:1" x14ac:dyDescent="0.25">
      <c r="A955" s="59"/>
    </row>
    <row r="956" spans="1:1" x14ac:dyDescent="0.25">
      <c r="A956" s="59"/>
    </row>
    <row r="957" spans="1:1" x14ac:dyDescent="0.25">
      <c r="A957" s="59"/>
    </row>
    <row r="958" spans="1:1" x14ac:dyDescent="0.25">
      <c r="A958" s="59"/>
    </row>
    <row r="959" spans="1:1" x14ac:dyDescent="0.25">
      <c r="A959" s="59"/>
    </row>
    <row r="960" spans="1:1" x14ac:dyDescent="0.25">
      <c r="A960" s="59"/>
    </row>
    <row r="961" spans="1:1" x14ac:dyDescent="0.25">
      <c r="A961" s="59"/>
    </row>
    <row r="962" spans="1:1" x14ac:dyDescent="0.25">
      <c r="A962" s="59"/>
    </row>
    <row r="963" spans="1:1" x14ac:dyDescent="0.25">
      <c r="A963" s="59"/>
    </row>
    <row r="964" spans="1:1" x14ac:dyDescent="0.25">
      <c r="A964" s="59"/>
    </row>
    <row r="965" spans="1:1" x14ac:dyDescent="0.25">
      <c r="A965" s="59"/>
    </row>
    <row r="966" spans="1:1" x14ac:dyDescent="0.25">
      <c r="A966" s="59"/>
    </row>
    <row r="967" spans="1:1" x14ac:dyDescent="0.25">
      <c r="A967" s="59"/>
    </row>
    <row r="968" spans="1:1" x14ac:dyDescent="0.25">
      <c r="A968" s="59"/>
    </row>
    <row r="969" spans="1:1" x14ac:dyDescent="0.25">
      <c r="A969" s="59"/>
    </row>
    <row r="970" spans="1:1" x14ac:dyDescent="0.25">
      <c r="A970" s="59"/>
    </row>
    <row r="971" spans="1:1" x14ac:dyDescent="0.25">
      <c r="A971" s="59"/>
    </row>
    <row r="972" spans="1:1" x14ac:dyDescent="0.25">
      <c r="A972" s="59"/>
    </row>
    <row r="973" spans="1:1" x14ac:dyDescent="0.25">
      <c r="A973" s="59"/>
    </row>
    <row r="974" spans="1:1" x14ac:dyDescent="0.25">
      <c r="A974" s="59"/>
    </row>
    <row r="975" spans="1:1" x14ac:dyDescent="0.25">
      <c r="A975" s="59"/>
    </row>
    <row r="976" spans="1:1" x14ac:dyDescent="0.25">
      <c r="A976" s="59"/>
    </row>
    <row r="977" spans="1:1" x14ac:dyDescent="0.25">
      <c r="A977" s="59"/>
    </row>
    <row r="978" spans="1:1" x14ac:dyDescent="0.25">
      <c r="A978" s="59"/>
    </row>
    <row r="979" spans="1:1" x14ac:dyDescent="0.25">
      <c r="A979" s="59"/>
    </row>
    <row r="980" spans="1:1" x14ac:dyDescent="0.25">
      <c r="A980" s="59"/>
    </row>
    <row r="981" spans="1:1" x14ac:dyDescent="0.25">
      <c r="A981" s="59"/>
    </row>
    <row r="982" spans="1:1" x14ac:dyDescent="0.25">
      <c r="A982" s="59"/>
    </row>
    <row r="983" spans="1:1" x14ac:dyDescent="0.25">
      <c r="A983" s="59"/>
    </row>
    <row r="984" spans="1:1" x14ac:dyDescent="0.25">
      <c r="A984" s="59"/>
    </row>
    <row r="985" spans="1:1" x14ac:dyDescent="0.25">
      <c r="A985" s="59"/>
    </row>
    <row r="986" spans="1:1" x14ac:dyDescent="0.25">
      <c r="A986" s="59"/>
    </row>
    <row r="987" spans="1:1" x14ac:dyDescent="0.25">
      <c r="A987" s="59"/>
    </row>
    <row r="988" spans="1:1" x14ac:dyDescent="0.25">
      <c r="A988" s="59"/>
    </row>
    <row r="989" spans="1:1" x14ac:dyDescent="0.25">
      <c r="A989" s="59"/>
    </row>
    <row r="990" spans="1:1" x14ac:dyDescent="0.25">
      <c r="A990" s="59"/>
    </row>
    <row r="991" spans="1:1" x14ac:dyDescent="0.25">
      <c r="A991" s="59"/>
    </row>
    <row r="992" spans="1:1" x14ac:dyDescent="0.25">
      <c r="A992" s="59"/>
    </row>
    <row r="993" spans="1:1" x14ac:dyDescent="0.25">
      <c r="A993" s="59"/>
    </row>
    <row r="994" spans="1:1" x14ac:dyDescent="0.25">
      <c r="A994" s="59"/>
    </row>
    <row r="995" spans="1:1" x14ac:dyDescent="0.25">
      <c r="A995" s="59"/>
    </row>
    <row r="996" spans="1:1" x14ac:dyDescent="0.25">
      <c r="A996" s="59"/>
    </row>
    <row r="997" spans="1:1" x14ac:dyDescent="0.25">
      <c r="A997" s="59"/>
    </row>
    <row r="998" spans="1:1" x14ac:dyDescent="0.25">
      <c r="A998" s="59"/>
    </row>
    <row r="999" spans="1:1" x14ac:dyDescent="0.25">
      <c r="A999" s="59"/>
    </row>
    <row r="1000" spans="1:1" x14ac:dyDescent="0.25">
      <c r="A1000" s="59"/>
    </row>
    <row r="1001" spans="1:1" x14ac:dyDescent="0.25">
      <c r="A1001" s="59"/>
    </row>
    <row r="1002" spans="1:1" x14ac:dyDescent="0.25">
      <c r="A1002" s="59"/>
    </row>
    <row r="1003" spans="1:1" x14ac:dyDescent="0.25">
      <c r="A1003" s="59"/>
    </row>
    <row r="1004" spans="1:1" x14ac:dyDescent="0.25">
      <c r="A1004" s="59"/>
    </row>
    <row r="1005" spans="1:1" x14ac:dyDescent="0.25">
      <c r="A1005" s="59"/>
    </row>
    <row r="1006" spans="1:1" x14ac:dyDescent="0.25">
      <c r="A1006" s="59"/>
    </row>
    <row r="1007" spans="1:1" x14ac:dyDescent="0.25">
      <c r="A1007" s="59"/>
    </row>
    <row r="1008" spans="1:1" x14ac:dyDescent="0.25">
      <c r="A1008" s="59"/>
    </row>
    <row r="1009" spans="1:1" x14ac:dyDescent="0.25">
      <c r="A1009" s="59"/>
    </row>
    <row r="1010" spans="1:1" x14ac:dyDescent="0.25">
      <c r="A1010" s="59"/>
    </row>
    <row r="1011" spans="1:1" x14ac:dyDescent="0.25">
      <c r="A1011" s="59"/>
    </row>
    <row r="1012" spans="1:1" x14ac:dyDescent="0.25">
      <c r="A1012" s="59"/>
    </row>
    <row r="1013" spans="1:1" x14ac:dyDescent="0.25">
      <c r="A1013" s="59"/>
    </row>
    <row r="1014" spans="1:1" x14ac:dyDescent="0.25">
      <c r="A1014" s="59"/>
    </row>
    <row r="1015" spans="1:1" x14ac:dyDescent="0.25">
      <c r="A1015" s="59"/>
    </row>
    <row r="1016" spans="1:1" x14ac:dyDescent="0.25">
      <c r="A1016" s="59"/>
    </row>
    <row r="1017" spans="1:1" x14ac:dyDescent="0.25">
      <c r="A1017" s="59"/>
    </row>
    <row r="1018" spans="1:1" x14ac:dyDescent="0.25">
      <c r="A1018" s="59"/>
    </row>
    <row r="1019" spans="1:1" x14ac:dyDescent="0.25">
      <c r="A1019" s="59"/>
    </row>
    <row r="1020" spans="1:1" x14ac:dyDescent="0.25">
      <c r="A1020" s="59"/>
    </row>
    <row r="1021" spans="1:1" x14ac:dyDescent="0.25">
      <c r="A1021" s="59"/>
    </row>
    <row r="1022" spans="1:1" x14ac:dyDescent="0.25">
      <c r="A1022" s="59"/>
    </row>
    <row r="1023" spans="1:1" x14ac:dyDescent="0.25">
      <c r="A1023" s="59"/>
    </row>
    <row r="1024" spans="1:1" x14ac:dyDescent="0.25">
      <c r="A1024" s="59"/>
    </row>
    <row r="1025" spans="1:1" x14ac:dyDescent="0.25">
      <c r="A1025" s="59"/>
    </row>
    <row r="1026" spans="1:1" x14ac:dyDescent="0.25">
      <c r="A1026" s="59"/>
    </row>
    <row r="1027" spans="1:1" x14ac:dyDescent="0.25">
      <c r="A1027" s="59"/>
    </row>
    <row r="1028" spans="1:1" x14ac:dyDescent="0.25">
      <c r="A1028" s="59"/>
    </row>
    <row r="1029" spans="1:1" x14ac:dyDescent="0.25">
      <c r="A1029" s="59"/>
    </row>
    <row r="1030" spans="1:1" x14ac:dyDescent="0.25">
      <c r="A1030" s="59"/>
    </row>
    <row r="1031" spans="1:1" x14ac:dyDescent="0.25">
      <c r="A1031" s="59"/>
    </row>
    <row r="1032" spans="1:1" x14ac:dyDescent="0.25">
      <c r="A1032" s="59"/>
    </row>
    <row r="1033" spans="1:1" x14ac:dyDescent="0.25">
      <c r="A1033" s="59"/>
    </row>
    <row r="1034" spans="1:1" x14ac:dyDescent="0.25">
      <c r="A1034" s="59"/>
    </row>
    <row r="1035" spans="1:1" x14ac:dyDescent="0.25">
      <c r="A1035" s="59"/>
    </row>
    <row r="1036" spans="1:1" x14ac:dyDescent="0.25">
      <c r="A1036" s="59"/>
    </row>
    <row r="1037" spans="1:1" x14ac:dyDescent="0.25">
      <c r="A1037" s="59"/>
    </row>
    <row r="1038" spans="1:1" x14ac:dyDescent="0.25">
      <c r="A1038" s="59"/>
    </row>
    <row r="1039" spans="1:1" x14ac:dyDescent="0.25">
      <c r="A1039" s="59"/>
    </row>
    <row r="1040" spans="1:1" x14ac:dyDescent="0.25">
      <c r="A1040" s="59"/>
    </row>
    <row r="1041" spans="1:1" x14ac:dyDescent="0.25">
      <c r="A1041" s="59"/>
    </row>
    <row r="1042" spans="1:1" x14ac:dyDescent="0.25">
      <c r="A1042" s="59"/>
    </row>
    <row r="1043" spans="1:1" x14ac:dyDescent="0.25">
      <c r="A1043" s="59"/>
    </row>
    <row r="1044" spans="1:1" x14ac:dyDescent="0.25">
      <c r="A1044" s="59"/>
    </row>
    <row r="1045" spans="1:1" x14ac:dyDescent="0.25">
      <c r="A1045" s="59"/>
    </row>
    <row r="1046" spans="1:1" x14ac:dyDescent="0.25">
      <c r="A1046" s="59"/>
    </row>
    <row r="1047" spans="1:1" x14ac:dyDescent="0.25">
      <c r="A1047" s="59"/>
    </row>
    <row r="1048" spans="1:1" x14ac:dyDescent="0.25">
      <c r="A1048" s="59"/>
    </row>
    <row r="1049" spans="1:1" x14ac:dyDescent="0.25">
      <c r="A1049" s="59"/>
    </row>
    <row r="1050" spans="1:1" x14ac:dyDescent="0.25">
      <c r="A1050" s="59"/>
    </row>
    <row r="1051" spans="1:1" x14ac:dyDescent="0.25">
      <c r="A1051" s="59"/>
    </row>
    <row r="1052" spans="1:1" x14ac:dyDescent="0.25">
      <c r="A1052" s="59"/>
    </row>
    <row r="1053" spans="1:1" x14ac:dyDescent="0.25">
      <c r="A1053" s="59"/>
    </row>
    <row r="1054" spans="1:1" x14ac:dyDescent="0.25">
      <c r="A1054" s="59"/>
    </row>
    <row r="1055" spans="1:1" x14ac:dyDescent="0.25">
      <c r="A1055" s="59"/>
    </row>
    <row r="1056" spans="1:1" x14ac:dyDescent="0.25">
      <c r="A1056" s="59"/>
    </row>
    <row r="1057" spans="1:1" x14ac:dyDescent="0.25">
      <c r="A1057" s="59"/>
    </row>
    <row r="1058" spans="1:1" x14ac:dyDescent="0.25">
      <c r="A1058" s="59"/>
    </row>
    <row r="1059" spans="1:1" x14ac:dyDescent="0.25">
      <c r="A1059" s="59"/>
    </row>
    <row r="1060" spans="1:1" x14ac:dyDescent="0.25">
      <c r="A1060" s="59"/>
    </row>
    <row r="1061" spans="1:1" x14ac:dyDescent="0.25">
      <c r="A1061" s="59"/>
    </row>
    <row r="1062" spans="1:1" x14ac:dyDescent="0.25">
      <c r="A1062" s="59"/>
    </row>
    <row r="1063" spans="1:1" x14ac:dyDescent="0.25">
      <c r="A1063" s="59"/>
    </row>
    <row r="1064" spans="1:1" x14ac:dyDescent="0.25">
      <c r="A1064" s="59"/>
    </row>
    <row r="1065" spans="1:1" x14ac:dyDescent="0.25">
      <c r="A1065" s="59"/>
    </row>
    <row r="1066" spans="1:1" x14ac:dyDescent="0.25">
      <c r="A1066" s="59"/>
    </row>
    <row r="1067" spans="1:1" x14ac:dyDescent="0.25">
      <c r="A1067" s="59"/>
    </row>
    <row r="1068" spans="1:1" x14ac:dyDescent="0.25">
      <c r="A1068" s="59"/>
    </row>
    <row r="1069" spans="1:1" x14ac:dyDescent="0.25">
      <c r="A1069" s="59"/>
    </row>
    <row r="1070" spans="1:1" x14ac:dyDescent="0.25">
      <c r="A1070" s="59"/>
    </row>
    <row r="1071" spans="1:1" x14ac:dyDescent="0.25">
      <c r="A1071" s="59"/>
    </row>
    <row r="1072" spans="1:1" x14ac:dyDescent="0.25">
      <c r="A1072" s="59"/>
    </row>
    <row r="1073" spans="1:1" x14ac:dyDescent="0.25">
      <c r="A1073" s="59"/>
    </row>
    <row r="1074" spans="1:1" x14ac:dyDescent="0.25">
      <c r="A1074" s="59"/>
    </row>
    <row r="1075" spans="1:1" x14ac:dyDescent="0.25">
      <c r="A1075" s="59"/>
    </row>
    <row r="1076" spans="1:1" x14ac:dyDescent="0.25">
      <c r="A1076" s="59"/>
    </row>
    <row r="1077" spans="1:1" x14ac:dyDescent="0.25">
      <c r="A1077" s="59"/>
    </row>
    <row r="1078" spans="1:1" x14ac:dyDescent="0.25">
      <c r="A1078" s="59"/>
    </row>
    <row r="1079" spans="1:1" x14ac:dyDescent="0.25">
      <c r="A1079" s="59"/>
    </row>
    <row r="1080" spans="1:1" x14ac:dyDescent="0.25">
      <c r="A1080" s="59"/>
    </row>
    <row r="1081" spans="1:1" x14ac:dyDescent="0.25">
      <c r="A1081" s="59"/>
    </row>
    <row r="1082" spans="1:1" x14ac:dyDescent="0.25">
      <c r="A1082" s="59"/>
    </row>
    <row r="1083" spans="1:1" x14ac:dyDescent="0.25">
      <c r="A1083" s="59"/>
    </row>
    <row r="1084" spans="1:1" x14ac:dyDescent="0.25">
      <c r="A1084" s="59"/>
    </row>
    <row r="1085" spans="1:1" x14ac:dyDescent="0.25">
      <c r="A1085" s="59"/>
    </row>
    <row r="1086" spans="1:1" x14ac:dyDescent="0.25">
      <c r="A1086" s="59"/>
    </row>
    <row r="1087" spans="1:1" x14ac:dyDescent="0.25">
      <c r="A1087" s="59"/>
    </row>
    <row r="1088" spans="1:1" x14ac:dyDescent="0.25">
      <c r="A1088" s="59"/>
    </row>
    <row r="1089" spans="1:1" x14ac:dyDescent="0.25">
      <c r="A1089" s="59"/>
    </row>
    <row r="1090" spans="1:1" x14ac:dyDescent="0.25">
      <c r="A1090" s="59"/>
    </row>
    <row r="1091" spans="1:1" x14ac:dyDescent="0.25">
      <c r="A1091" s="59"/>
    </row>
    <row r="1092" spans="1:1" x14ac:dyDescent="0.25">
      <c r="A1092" s="59"/>
    </row>
    <row r="1093" spans="1:1" x14ac:dyDescent="0.25">
      <c r="A1093" s="59"/>
    </row>
    <row r="1094" spans="1:1" x14ac:dyDescent="0.25">
      <c r="A1094" s="59"/>
    </row>
    <row r="1095" spans="1:1" x14ac:dyDescent="0.25">
      <c r="A1095" s="59"/>
    </row>
    <row r="1096" spans="1:1" x14ac:dyDescent="0.25">
      <c r="A1096" s="59"/>
    </row>
    <row r="1097" spans="1:1" x14ac:dyDescent="0.25">
      <c r="A1097" s="59"/>
    </row>
    <row r="1098" spans="1:1" x14ac:dyDescent="0.25">
      <c r="A1098" s="59"/>
    </row>
    <row r="1099" spans="1:1" x14ac:dyDescent="0.25">
      <c r="A1099" s="59"/>
    </row>
    <row r="1100" spans="1:1" x14ac:dyDescent="0.25">
      <c r="A1100" s="59"/>
    </row>
    <row r="1101" spans="1:1" x14ac:dyDescent="0.25">
      <c r="A1101" s="59"/>
    </row>
    <row r="1102" spans="1:1" x14ac:dyDescent="0.25">
      <c r="A1102" s="59"/>
    </row>
    <row r="1103" spans="1:1" x14ac:dyDescent="0.25">
      <c r="A1103" s="59"/>
    </row>
    <row r="1104" spans="1:1" x14ac:dyDescent="0.25">
      <c r="A1104" s="59"/>
    </row>
    <row r="1105" spans="1:1" x14ac:dyDescent="0.25">
      <c r="A1105" s="59"/>
    </row>
    <row r="1106" spans="1:1" x14ac:dyDescent="0.25">
      <c r="A1106" s="59"/>
    </row>
    <row r="1107" spans="1:1" x14ac:dyDescent="0.25">
      <c r="A1107" s="59"/>
    </row>
    <row r="1108" spans="1:1" x14ac:dyDescent="0.25">
      <c r="A1108" s="59"/>
    </row>
    <row r="1109" spans="1:1" x14ac:dyDescent="0.25">
      <c r="A1109" s="59"/>
    </row>
    <row r="1110" spans="1:1" x14ac:dyDescent="0.25">
      <c r="A1110" s="59"/>
    </row>
    <row r="1111" spans="1:1" x14ac:dyDescent="0.25">
      <c r="A1111" s="59"/>
    </row>
    <row r="1112" spans="1:1" x14ac:dyDescent="0.25">
      <c r="A1112" s="59"/>
    </row>
    <row r="1113" spans="1:1" x14ac:dyDescent="0.25">
      <c r="A1113" s="59"/>
    </row>
    <row r="1114" spans="1:1" x14ac:dyDescent="0.25">
      <c r="A1114" s="59"/>
    </row>
    <row r="1115" spans="1:1" x14ac:dyDescent="0.25">
      <c r="A1115" s="59"/>
    </row>
    <row r="1116" spans="1:1" x14ac:dyDescent="0.25">
      <c r="A1116" s="59"/>
    </row>
    <row r="1117" spans="1:1" x14ac:dyDescent="0.25">
      <c r="A1117" s="59"/>
    </row>
    <row r="1118" spans="1:1" x14ac:dyDescent="0.25">
      <c r="A1118" s="59"/>
    </row>
    <row r="1119" spans="1:1" x14ac:dyDescent="0.25">
      <c r="A1119" s="59"/>
    </row>
    <row r="1120" spans="1:1" x14ac:dyDescent="0.25">
      <c r="A1120" s="59"/>
    </row>
    <row r="1121" spans="1:1" x14ac:dyDescent="0.25">
      <c r="A1121" s="59"/>
    </row>
    <row r="1122" spans="1:1" x14ac:dyDescent="0.25">
      <c r="A1122" s="59"/>
    </row>
    <row r="1123" spans="1:1" x14ac:dyDescent="0.25">
      <c r="A1123" s="59"/>
    </row>
    <row r="1124" spans="1:1" x14ac:dyDescent="0.25">
      <c r="A1124" s="59"/>
    </row>
    <row r="1125" spans="1:1" x14ac:dyDescent="0.25">
      <c r="A1125" s="59"/>
    </row>
    <row r="1126" spans="1:1" x14ac:dyDescent="0.25">
      <c r="A1126" s="59"/>
    </row>
    <row r="1127" spans="1:1" x14ac:dyDescent="0.25">
      <c r="A1127" s="59"/>
    </row>
    <row r="1128" spans="1:1" x14ac:dyDescent="0.25">
      <c r="A1128" s="59"/>
    </row>
    <row r="1129" spans="1:1" x14ac:dyDescent="0.25">
      <c r="A1129" s="59"/>
    </row>
    <row r="1130" spans="1:1" x14ac:dyDescent="0.25">
      <c r="A1130" s="59"/>
    </row>
    <row r="1131" spans="1:1" x14ac:dyDescent="0.25">
      <c r="A1131" s="59"/>
    </row>
    <row r="1132" spans="1:1" x14ac:dyDescent="0.25">
      <c r="A1132" s="59"/>
    </row>
    <row r="1133" spans="1:1" x14ac:dyDescent="0.25">
      <c r="A1133" s="59"/>
    </row>
    <row r="1134" spans="1:1" x14ac:dyDescent="0.25">
      <c r="A1134" s="59"/>
    </row>
    <row r="1135" spans="1:1" x14ac:dyDescent="0.25">
      <c r="A1135" s="59"/>
    </row>
    <row r="1136" spans="1:1" x14ac:dyDescent="0.25">
      <c r="A1136" s="59"/>
    </row>
    <row r="1137" spans="1:1" x14ac:dyDescent="0.25">
      <c r="A1137" s="59"/>
    </row>
    <row r="1138" spans="1:1" x14ac:dyDescent="0.25">
      <c r="A1138" s="59"/>
    </row>
    <row r="1139" spans="1:1" x14ac:dyDescent="0.25">
      <c r="A1139" s="59"/>
    </row>
    <row r="1140" spans="1:1" x14ac:dyDescent="0.25">
      <c r="A1140" s="59"/>
    </row>
    <row r="1141" spans="1:1" x14ac:dyDescent="0.25">
      <c r="A1141" s="59"/>
    </row>
    <row r="1142" spans="1:1" x14ac:dyDescent="0.25">
      <c r="A1142" s="59"/>
    </row>
    <row r="1143" spans="1:1" x14ac:dyDescent="0.25">
      <c r="A1143" s="59"/>
    </row>
    <row r="1144" spans="1:1" x14ac:dyDescent="0.25">
      <c r="A1144" s="59"/>
    </row>
    <row r="1145" spans="1:1" x14ac:dyDescent="0.25">
      <c r="A1145" s="59"/>
    </row>
    <row r="1146" spans="1:1" x14ac:dyDescent="0.25">
      <c r="A1146" s="59"/>
    </row>
    <row r="1147" spans="1:1" x14ac:dyDescent="0.25">
      <c r="A1147" s="59"/>
    </row>
    <row r="1148" spans="1:1" x14ac:dyDescent="0.25">
      <c r="A1148" s="59"/>
    </row>
    <row r="1149" spans="1:1" x14ac:dyDescent="0.25">
      <c r="A1149" s="59"/>
    </row>
    <row r="1150" spans="1:1" x14ac:dyDescent="0.25">
      <c r="A1150" s="59"/>
    </row>
    <row r="1151" spans="1:1" x14ac:dyDescent="0.25">
      <c r="A1151" s="59"/>
    </row>
    <row r="1152" spans="1:1" x14ac:dyDescent="0.25">
      <c r="A1152" s="59"/>
    </row>
    <row r="1153" spans="1:1" x14ac:dyDescent="0.25">
      <c r="A1153" s="59"/>
    </row>
    <row r="1154" spans="1:1" x14ac:dyDescent="0.25">
      <c r="A1154" s="59"/>
    </row>
    <row r="1155" spans="1:1" x14ac:dyDescent="0.25">
      <c r="A1155" s="59"/>
    </row>
    <row r="1156" spans="1:1" x14ac:dyDescent="0.25">
      <c r="A1156" s="59"/>
    </row>
    <row r="1157" spans="1:1" x14ac:dyDescent="0.25">
      <c r="A1157" s="59"/>
    </row>
    <row r="1158" spans="1:1" x14ac:dyDescent="0.25">
      <c r="A1158" s="59"/>
    </row>
    <row r="1159" spans="1:1" x14ac:dyDescent="0.25">
      <c r="A1159" s="59"/>
    </row>
    <row r="1160" spans="1:1" x14ac:dyDescent="0.25">
      <c r="A1160" s="59"/>
    </row>
    <row r="1161" spans="1:1" x14ac:dyDescent="0.25">
      <c r="A1161" s="59"/>
    </row>
    <row r="1162" spans="1:1" x14ac:dyDescent="0.25">
      <c r="A1162" s="59"/>
    </row>
    <row r="1163" spans="1:1" x14ac:dyDescent="0.25">
      <c r="A1163" s="59"/>
    </row>
    <row r="1164" spans="1:1" x14ac:dyDescent="0.25">
      <c r="A1164" s="59"/>
    </row>
    <row r="1165" spans="1:1" x14ac:dyDescent="0.25">
      <c r="A1165" s="59"/>
    </row>
    <row r="1166" spans="1:1" x14ac:dyDescent="0.25">
      <c r="A1166" s="59"/>
    </row>
    <row r="1167" spans="1:1" x14ac:dyDescent="0.25">
      <c r="A1167" s="59"/>
    </row>
    <row r="1168" spans="1:1" x14ac:dyDescent="0.25">
      <c r="A1168" s="59"/>
    </row>
    <row r="1169" spans="1:1" x14ac:dyDescent="0.25">
      <c r="A1169" s="59"/>
    </row>
    <row r="1170" spans="1:1" x14ac:dyDescent="0.25">
      <c r="A1170" s="59"/>
    </row>
    <row r="1171" spans="1:1" x14ac:dyDescent="0.25">
      <c r="A1171" s="59"/>
    </row>
    <row r="1172" spans="1:1" x14ac:dyDescent="0.25">
      <c r="A1172" s="59"/>
    </row>
    <row r="1173" spans="1:1" x14ac:dyDescent="0.25">
      <c r="A1173" s="59"/>
    </row>
    <row r="1174" spans="1:1" x14ac:dyDescent="0.25">
      <c r="A1174" s="59"/>
    </row>
    <row r="1175" spans="1:1" x14ac:dyDescent="0.25">
      <c r="A1175" s="59"/>
    </row>
    <row r="1176" spans="1:1" x14ac:dyDescent="0.25">
      <c r="A1176" s="59"/>
    </row>
    <row r="1177" spans="1:1" x14ac:dyDescent="0.25">
      <c r="A1177" s="59"/>
    </row>
    <row r="1178" spans="1:1" x14ac:dyDescent="0.25">
      <c r="A1178" s="59"/>
    </row>
    <row r="1179" spans="1:1" x14ac:dyDescent="0.25">
      <c r="A1179" s="59"/>
    </row>
    <row r="1180" spans="1:1" x14ac:dyDescent="0.25">
      <c r="A1180" s="59"/>
    </row>
    <row r="1181" spans="1:1" x14ac:dyDescent="0.25">
      <c r="A1181" s="59"/>
    </row>
    <row r="1182" spans="1:1" x14ac:dyDescent="0.25">
      <c r="A1182" s="59"/>
    </row>
    <row r="1183" spans="1:1" x14ac:dyDescent="0.25">
      <c r="A1183" s="59"/>
    </row>
    <row r="1184" spans="1:1" x14ac:dyDescent="0.25">
      <c r="A1184" s="59"/>
    </row>
    <row r="1185" spans="1:1" x14ac:dyDescent="0.25">
      <c r="A1185" s="59"/>
    </row>
    <row r="1186" spans="1:1" x14ac:dyDescent="0.25">
      <c r="A1186" s="59"/>
    </row>
    <row r="1187" spans="1:1" x14ac:dyDescent="0.25">
      <c r="A1187" s="59"/>
    </row>
    <row r="1188" spans="1:1" x14ac:dyDescent="0.25">
      <c r="A1188" s="59"/>
    </row>
    <row r="1189" spans="1:1" x14ac:dyDescent="0.25">
      <c r="A1189" s="59"/>
    </row>
    <row r="1190" spans="1:1" x14ac:dyDescent="0.25">
      <c r="A1190" s="59"/>
    </row>
    <row r="1191" spans="1:1" x14ac:dyDescent="0.25">
      <c r="A1191" s="59"/>
    </row>
    <row r="1192" spans="1:1" x14ac:dyDescent="0.25">
      <c r="A1192" s="59"/>
    </row>
    <row r="1193" spans="1:1" x14ac:dyDescent="0.25">
      <c r="A1193" s="59"/>
    </row>
    <row r="1194" spans="1:1" x14ac:dyDescent="0.25">
      <c r="A1194" s="59"/>
    </row>
    <row r="1195" spans="1:1" x14ac:dyDescent="0.25">
      <c r="A1195" s="59"/>
    </row>
    <row r="1196" spans="1:1" x14ac:dyDescent="0.25">
      <c r="A1196" s="59"/>
    </row>
    <row r="1197" spans="1:1" x14ac:dyDescent="0.25">
      <c r="A1197" s="59"/>
    </row>
    <row r="1198" spans="1:1" x14ac:dyDescent="0.25">
      <c r="A1198" s="59"/>
    </row>
    <row r="1199" spans="1:1" x14ac:dyDescent="0.25">
      <c r="A1199" s="59"/>
    </row>
    <row r="1200" spans="1:1" x14ac:dyDescent="0.25">
      <c r="A1200" s="59"/>
    </row>
    <row r="1201" spans="1:1" x14ac:dyDescent="0.25">
      <c r="A1201" s="59"/>
    </row>
    <row r="1202" spans="1:1" x14ac:dyDescent="0.25">
      <c r="A1202" s="59"/>
    </row>
    <row r="1203" spans="1:1" x14ac:dyDescent="0.25">
      <c r="A1203" s="59"/>
    </row>
    <row r="1204" spans="1:1" x14ac:dyDescent="0.25">
      <c r="A1204" s="59"/>
    </row>
    <row r="1205" spans="1:1" x14ac:dyDescent="0.25">
      <c r="A1205" s="59"/>
    </row>
    <row r="1206" spans="1:1" x14ac:dyDescent="0.25">
      <c r="A1206" s="59"/>
    </row>
    <row r="1207" spans="1:1" x14ac:dyDescent="0.25">
      <c r="A1207" s="59"/>
    </row>
    <row r="1208" spans="1:1" x14ac:dyDescent="0.25">
      <c r="A1208" s="59"/>
    </row>
    <row r="1209" spans="1:1" x14ac:dyDescent="0.25">
      <c r="A1209" s="59"/>
    </row>
    <row r="1210" spans="1:1" x14ac:dyDescent="0.25">
      <c r="A1210" s="59"/>
    </row>
    <row r="1211" spans="1:1" x14ac:dyDescent="0.25">
      <c r="A1211" s="59"/>
    </row>
    <row r="1212" spans="1:1" x14ac:dyDescent="0.25">
      <c r="A1212" s="59"/>
    </row>
    <row r="1213" spans="1:1" x14ac:dyDescent="0.25">
      <c r="A1213" s="59"/>
    </row>
    <row r="1214" spans="1:1" x14ac:dyDescent="0.25">
      <c r="A1214" s="59"/>
    </row>
    <row r="1215" spans="1:1" x14ac:dyDescent="0.25">
      <c r="A1215" s="59"/>
    </row>
    <row r="1216" spans="1:1" x14ac:dyDescent="0.25">
      <c r="A1216" s="59"/>
    </row>
    <row r="1217" spans="1:1" x14ac:dyDescent="0.25">
      <c r="A1217" s="59"/>
    </row>
    <row r="1218" spans="1:1" x14ac:dyDescent="0.25">
      <c r="A1218" s="59"/>
    </row>
    <row r="1219" spans="1:1" x14ac:dyDescent="0.25">
      <c r="A1219" s="59"/>
    </row>
    <row r="1220" spans="1:1" x14ac:dyDescent="0.25">
      <c r="A1220" s="59"/>
    </row>
    <row r="1221" spans="1:1" x14ac:dyDescent="0.25">
      <c r="A1221" s="59"/>
    </row>
    <row r="1222" spans="1:1" x14ac:dyDescent="0.25">
      <c r="A1222" s="59"/>
    </row>
    <row r="1223" spans="1:1" x14ac:dyDescent="0.25">
      <c r="A1223" s="59"/>
    </row>
    <row r="1224" spans="1:1" x14ac:dyDescent="0.25">
      <c r="A1224" s="59"/>
    </row>
    <row r="1225" spans="1:1" x14ac:dyDescent="0.25">
      <c r="A1225" s="59"/>
    </row>
    <row r="1226" spans="1:1" x14ac:dyDescent="0.25">
      <c r="A1226" s="59"/>
    </row>
    <row r="1227" spans="1:1" x14ac:dyDescent="0.25">
      <c r="A1227" s="59"/>
    </row>
    <row r="1228" spans="1:1" x14ac:dyDescent="0.25">
      <c r="A1228" s="59"/>
    </row>
    <row r="1229" spans="1:1" x14ac:dyDescent="0.25">
      <c r="A1229" s="59"/>
    </row>
    <row r="1230" spans="1:1" x14ac:dyDescent="0.25">
      <c r="A1230" s="59"/>
    </row>
    <row r="1231" spans="1:1" x14ac:dyDescent="0.25">
      <c r="A1231" s="59"/>
    </row>
    <row r="1232" spans="1:1" x14ac:dyDescent="0.25">
      <c r="A1232" s="59"/>
    </row>
    <row r="1233" spans="1:1" x14ac:dyDescent="0.25">
      <c r="A1233" s="59"/>
    </row>
    <row r="1234" spans="1:1" x14ac:dyDescent="0.25">
      <c r="A1234" s="59"/>
    </row>
    <row r="1235" spans="1:1" x14ac:dyDescent="0.25">
      <c r="A1235" s="59"/>
    </row>
    <row r="1236" spans="1:1" x14ac:dyDescent="0.25">
      <c r="A1236" s="59"/>
    </row>
    <row r="1237" spans="1:1" x14ac:dyDescent="0.25">
      <c r="A1237" s="59"/>
    </row>
    <row r="1238" spans="1:1" x14ac:dyDescent="0.25">
      <c r="A1238" s="59"/>
    </row>
    <row r="1239" spans="1:1" x14ac:dyDescent="0.25">
      <c r="A1239" s="59"/>
    </row>
    <row r="1240" spans="1:1" x14ac:dyDescent="0.25">
      <c r="A1240" s="59"/>
    </row>
    <row r="1241" spans="1:1" x14ac:dyDescent="0.25">
      <c r="A1241" s="59"/>
    </row>
    <row r="1242" spans="1:1" x14ac:dyDescent="0.25">
      <c r="A1242" s="59"/>
    </row>
    <row r="1243" spans="1:1" x14ac:dyDescent="0.25">
      <c r="A1243" s="59"/>
    </row>
    <row r="1244" spans="1:1" x14ac:dyDescent="0.25">
      <c r="A1244" s="59"/>
    </row>
    <row r="1245" spans="1:1" x14ac:dyDescent="0.25">
      <c r="A1245" s="59"/>
    </row>
    <row r="1246" spans="1:1" x14ac:dyDescent="0.25">
      <c r="A1246" s="59"/>
    </row>
    <row r="1247" spans="1:1" x14ac:dyDescent="0.25">
      <c r="A1247" s="59"/>
    </row>
    <row r="1248" spans="1:1" x14ac:dyDescent="0.25">
      <c r="A1248" s="59"/>
    </row>
    <row r="1249" spans="1:1" x14ac:dyDescent="0.25">
      <c r="A1249" s="59"/>
    </row>
    <row r="1250" spans="1:1" x14ac:dyDescent="0.25">
      <c r="A1250" s="59"/>
    </row>
    <row r="1251" spans="1:1" x14ac:dyDescent="0.25">
      <c r="A1251" s="59"/>
    </row>
    <row r="1252" spans="1:1" x14ac:dyDescent="0.25">
      <c r="A1252" s="59"/>
    </row>
    <row r="1253" spans="1:1" x14ac:dyDescent="0.25">
      <c r="A1253" s="59"/>
    </row>
    <row r="1254" spans="1:1" x14ac:dyDescent="0.25">
      <c r="A1254" s="59"/>
    </row>
    <row r="1255" spans="1:1" x14ac:dyDescent="0.25">
      <c r="A1255" s="59"/>
    </row>
    <row r="1256" spans="1:1" x14ac:dyDescent="0.25">
      <c r="A1256" s="59"/>
    </row>
    <row r="1257" spans="1:1" x14ac:dyDescent="0.25">
      <c r="A1257" s="59"/>
    </row>
    <row r="1258" spans="1:1" x14ac:dyDescent="0.25">
      <c r="A1258" s="59"/>
    </row>
    <row r="1259" spans="1:1" x14ac:dyDescent="0.25">
      <c r="A1259" s="59"/>
    </row>
    <row r="1260" spans="1:1" x14ac:dyDescent="0.25">
      <c r="A1260" s="59"/>
    </row>
    <row r="1261" spans="1:1" x14ac:dyDescent="0.25">
      <c r="A1261" s="59"/>
    </row>
    <row r="1262" spans="1:1" x14ac:dyDescent="0.25">
      <c r="A1262" s="59"/>
    </row>
    <row r="1263" spans="1:1" x14ac:dyDescent="0.25">
      <c r="A1263" s="59"/>
    </row>
    <row r="1264" spans="1:1" x14ac:dyDescent="0.25">
      <c r="A1264" s="59"/>
    </row>
    <row r="1265" spans="1:1" x14ac:dyDescent="0.25">
      <c r="A1265" s="59"/>
    </row>
    <row r="1266" spans="1:1" x14ac:dyDescent="0.25">
      <c r="A1266" s="59"/>
    </row>
    <row r="1267" spans="1:1" x14ac:dyDescent="0.25">
      <c r="A1267" s="59"/>
    </row>
    <row r="1268" spans="1:1" x14ac:dyDescent="0.25">
      <c r="A1268" s="59"/>
    </row>
    <row r="1269" spans="1:1" x14ac:dyDescent="0.25">
      <c r="A1269" s="59"/>
    </row>
    <row r="1270" spans="1:1" x14ac:dyDescent="0.25">
      <c r="A1270" s="59"/>
    </row>
    <row r="1271" spans="1:1" x14ac:dyDescent="0.25">
      <c r="A1271" s="59"/>
    </row>
    <row r="1272" spans="1:1" x14ac:dyDescent="0.25">
      <c r="A1272" s="59"/>
    </row>
    <row r="1273" spans="1:1" x14ac:dyDescent="0.25">
      <c r="A1273" s="59"/>
    </row>
    <row r="1274" spans="1:1" x14ac:dyDescent="0.25">
      <c r="A1274" s="59"/>
    </row>
    <row r="1275" spans="1:1" x14ac:dyDescent="0.25">
      <c r="A1275" s="59"/>
    </row>
    <row r="1276" spans="1:1" x14ac:dyDescent="0.25">
      <c r="A1276" s="59"/>
    </row>
    <row r="1277" spans="1:1" x14ac:dyDescent="0.25">
      <c r="A1277" s="59"/>
    </row>
    <row r="1278" spans="1:1" x14ac:dyDescent="0.25">
      <c r="A1278" s="59"/>
    </row>
    <row r="1279" spans="1:1" x14ac:dyDescent="0.25">
      <c r="A1279" s="59"/>
    </row>
    <row r="1280" spans="1:1" x14ac:dyDescent="0.25">
      <c r="A1280" s="59"/>
    </row>
    <row r="1281" spans="1:1" x14ac:dyDescent="0.25">
      <c r="A1281" s="59"/>
    </row>
    <row r="1282" spans="1:1" x14ac:dyDescent="0.25">
      <c r="A1282" s="59"/>
    </row>
    <row r="1283" spans="1:1" x14ac:dyDescent="0.25">
      <c r="A1283" s="59"/>
    </row>
    <row r="1284" spans="1:1" x14ac:dyDescent="0.25">
      <c r="A1284" s="59"/>
    </row>
    <row r="1285" spans="1:1" x14ac:dyDescent="0.25">
      <c r="A1285" s="59"/>
    </row>
    <row r="1286" spans="1:1" x14ac:dyDescent="0.25">
      <c r="A1286" s="59"/>
    </row>
    <row r="1287" spans="1:1" x14ac:dyDescent="0.25">
      <c r="A1287" s="59"/>
    </row>
    <row r="1288" spans="1:1" x14ac:dyDescent="0.25">
      <c r="A1288" s="59"/>
    </row>
    <row r="1289" spans="1:1" x14ac:dyDescent="0.25">
      <c r="A1289" s="59"/>
    </row>
    <row r="1290" spans="1:1" x14ac:dyDescent="0.25">
      <c r="A1290" s="59"/>
    </row>
    <row r="1291" spans="1:1" x14ac:dyDescent="0.25">
      <c r="A1291" s="59"/>
    </row>
    <row r="1292" spans="1:1" x14ac:dyDescent="0.25">
      <c r="A1292" s="59"/>
    </row>
    <row r="1293" spans="1:1" x14ac:dyDescent="0.25">
      <c r="A1293" s="59"/>
    </row>
    <row r="1294" spans="1:1" x14ac:dyDescent="0.25">
      <c r="A1294" s="59"/>
    </row>
    <row r="1295" spans="1:1" x14ac:dyDescent="0.25">
      <c r="A1295" s="59"/>
    </row>
    <row r="1296" spans="1:1" x14ac:dyDescent="0.25">
      <c r="A1296" s="59"/>
    </row>
    <row r="1297" spans="1:1" x14ac:dyDescent="0.25">
      <c r="A1297" s="59"/>
    </row>
    <row r="1298" spans="1:1" x14ac:dyDescent="0.25">
      <c r="A1298" s="59"/>
    </row>
    <row r="1299" spans="1:1" x14ac:dyDescent="0.25">
      <c r="A1299" s="59"/>
    </row>
    <row r="1300" spans="1:1" x14ac:dyDescent="0.25">
      <c r="A1300" s="59"/>
    </row>
    <row r="1301" spans="1:1" x14ac:dyDescent="0.25">
      <c r="A1301" s="59"/>
    </row>
    <row r="1302" spans="1:1" x14ac:dyDescent="0.25">
      <c r="A1302" s="59"/>
    </row>
    <row r="1303" spans="1:1" x14ac:dyDescent="0.25">
      <c r="A1303" s="59"/>
    </row>
    <row r="1304" spans="1:1" x14ac:dyDescent="0.25">
      <c r="A1304" s="59"/>
    </row>
    <row r="1305" spans="1:1" x14ac:dyDescent="0.25">
      <c r="A1305" s="59"/>
    </row>
    <row r="1306" spans="1:1" x14ac:dyDescent="0.25">
      <c r="A1306" s="59"/>
    </row>
    <row r="1307" spans="1:1" x14ac:dyDescent="0.25">
      <c r="A1307" s="59"/>
    </row>
    <row r="1308" spans="1:1" x14ac:dyDescent="0.25">
      <c r="A1308" s="59"/>
    </row>
    <row r="1309" spans="1:1" x14ac:dyDescent="0.25">
      <c r="A1309" s="59"/>
    </row>
    <row r="1310" spans="1:1" x14ac:dyDescent="0.25">
      <c r="A1310" s="59"/>
    </row>
    <row r="1311" spans="1:1" x14ac:dyDescent="0.25">
      <c r="A1311" s="59"/>
    </row>
    <row r="1312" spans="1:1" x14ac:dyDescent="0.25">
      <c r="A1312" s="59"/>
    </row>
    <row r="1313" spans="1:1" x14ac:dyDescent="0.25">
      <c r="A1313" s="59"/>
    </row>
    <row r="1314" spans="1:1" x14ac:dyDescent="0.25">
      <c r="A1314" s="59"/>
    </row>
    <row r="1315" spans="1:1" x14ac:dyDescent="0.25">
      <c r="A1315" s="59"/>
    </row>
    <row r="1316" spans="1:1" x14ac:dyDescent="0.25">
      <c r="A1316" s="59"/>
    </row>
    <row r="1317" spans="1:1" x14ac:dyDescent="0.25">
      <c r="A1317" s="59"/>
    </row>
    <row r="1318" spans="1:1" x14ac:dyDescent="0.25">
      <c r="A1318" s="59"/>
    </row>
    <row r="1319" spans="1:1" x14ac:dyDescent="0.25">
      <c r="A1319" s="59"/>
    </row>
    <row r="1320" spans="1:1" x14ac:dyDescent="0.25">
      <c r="A1320" s="59"/>
    </row>
    <row r="1321" spans="1:1" x14ac:dyDescent="0.25">
      <c r="A1321" s="59"/>
    </row>
    <row r="1322" spans="1:1" x14ac:dyDescent="0.25">
      <c r="A1322" s="59"/>
    </row>
    <row r="1323" spans="1:1" x14ac:dyDescent="0.25">
      <c r="A1323" s="59"/>
    </row>
    <row r="1324" spans="1:1" x14ac:dyDescent="0.25">
      <c r="A1324" s="59"/>
    </row>
    <row r="1325" spans="1:1" x14ac:dyDescent="0.25">
      <c r="A1325" s="59"/>
    </row>
    <row r="1326" spans="1:1" x14ac:dyDescent="0.25">
      <c r="A1326" s="59"/>
    </row>
    <row r="1327" spans="1:1" x14ac:dyDescent="0.25">
      <c r="A1327" s="59"/>
    </row>
    <row r="1328" spans="1:1" x14ac:dyDescent="0.25">
      <c r="A1328" s="59"/>
    </row>
    <row r="1329" spans="1:1" x14ac:dyDescent="0.25">
      <c r="A1329" s="59"/>
    </row>
    <row r="1330" spans="1:1" x14ac:dyDescent="0.25">
      <c r="A1330" s="59"/>
    </row>
    <row r="1331" spans="1:1" x14ac:dyDescent="0.25">
      <c r="A1331" s="59"/>
    </row>
    <row r="1332" spans="1:1" x14ac:dyDescent="0.25">
      <c r="A1332" s="59"/>
    </row>
    <row r="1333" spans="1:1" x14ac:dyDescent="0.25">
      <c r="A1333" s="59"/>
    </row>
    <row r="1334" spans="1:1" x14ac:dyDescent="0.25">
      <c r="A1334" s="59"/>
    </row>
    <row r="1335" spans="1:1" x14ac:dyDescent="0.25">
      <c r="A1335" s="59"/>
    </row>
    <row r="1336" spans="1:1" x14ac:dyDescent="0.25">
      <c r="A1336" s="59"/>
    </row>
    <row r="1337" spans="1:1" x14ac:dyDescent="0.25">
      <c r="A1337" s="59"/>
    </row>
    <row r="1338" spans="1:1" x14ac:dyDescent="0.25">
      <c r="A1338" s="59"/>
    </row>
    <row r="1339" spans="1:1" x14ac:dyDescent="0.25">
      <c r="A1339" s="59"/>
    </row>
    <row r="1340" spans="1:1" x14ac:dyDescent="0.25">
      <c r="A1340" s="59"/>
    </row>
    <row r="1341" spans="1:1" x14ac:dyDescent="0.25">
      <c r="A1341" s="59"/>
    </row>
    <row r="1342" spans="1:1" x14ac:dyDescent="0.25">
      <c r="A1342" s="59"/>
    </row>
    <row r="1343" spans="1:1" x14ac:dyDescent="0.25">
      <c r="A1343" s="59"/>
    </row>
    <row r="1344" spans="1:1" x14ac:dyDescent="0.25">
      <c r="A1344" s="59"/>
    </row>
    <row r="1345" spans="1:1" x14ac:dyDescent="0.25">
      <c r="A1345" s="59"/>
    </row>
    <row r="1346" spans="1:1" x14ac:dyDescent="0.25">
      <c r="A1346" s="59"/>
    </row>
    <row r="1347" spans="1:1" x14ac:dyDescent="0.25">
      <c r="A1347" s="59"/>
    </row>
    <row r="1348" spans="1:1" x14ac:dyDescent="0.25">
      <c r="A1348" s="59"/>
    </row>
    <row r="1349" spans="1:1" x14ac:dyDescent="0.25">
      <c r="A1349" s="59"/>
    </row>
    <row r="1350" spans="1:1" x14ac:dyDescent="0.25">
      <c r="A1350" s="59"/>
    </row>
    <row r="1351" spans="1:1" x14ac:dyDescent="0.25">
      <c r="A1351" s="59"/>
    </row>
    <row r="1352" spans="1:1" x14ac:dyDescent="0.25">
      <c r="A1352" s="59"/>
    </row>
    <row r="1353" spans="1:1" x14ac:dyDescent="0.25">
      <c r="A1353" s="59"/>
    </row>
    <row r="1354" spans="1:1" x14ac:dyDescent="0.25">
      <c r="A1354" s="59"/>
    </row>
    <row r="1355" spans="1:1" x14ac:dyDescent="0.25">
      <c r="A1355" s="59"/>
    </row>
    <row r="1356" spans="1:1" x14ac:dyDescent="0.25">
      <c r="A1356" s="59"/>
    </row>
    <row r="1357" spans="1:1" x14ac:dyDescent="0.25">
      <c r="A1357" s="59"/>
    </row>
    <row r="1358" spans="1:1" x14ac:dyDescent="0.25">
      <c r="A1358" s="59"/>
    </row>
    <row r="1359" spans="1:1" x14ac:dyDescent="0.25">
      <c r="A1359" s="59"/>
    </row>
    <row r="1360" spans="1:1" x14ac:dyDescent="0.25">
      <c r="A1360" s="59"/>
    </row>
    <row r="1361" spans="1:1" x14ac:dyDescent="0.25">
      <c r="A1361" s="59"/>
    </row>
    <row r="1362" spans="1:1" x14ac:dyDescent="0.25">
      <c r="A1362" s="59"/>
    </row>
    <row r="1363" spans="1:1" x14ac:dyDescent="0.25">
      <c r="A1363" s="59"/>
    </row>
    <row r="1364" spans="1:1" x14ac:dyDescent="0.25">
      <c r="A1364" s="59"/>
    </row>
    <row r="1365" spans="1:1" x14ac:dyDescent="0.25">
      <c r="A1365" s="59"/>
    </row>
    <row r="1366" spans="1:1" x14ac:dyDescent="0.25">
      <c r="A1366" s="59"/>
    </row>
    <row r="1367" spans="1:1" x14ac:dyDescent="0.25">
      <c r="A1367" s="59"/>
    </row>
    <row r="1368" spans="1:1" x14ac:dyDescent="0.25">
      <c r="A1368" s="59"/>
    </row>
    <row r="1369" spans="1:1" x14ac:dyDescent="0.25">
      <c r="A1369" s="59"/>
    </row>
    <row r="1370" spans="1:1" x14ac:dyDescent="0.25">
      <c r="A1370" s="59"/>
    </row>
    <row r="1371" spans="1:1" x14ac:dyDescent="0.25">
      <c r="A1371" s="59"/>
    </row>
    <row r="1372" spans="1:1" x14ac:dyDescent="0.25">
      <c r="A1372" s="59"/>
    </row>
    <row r="1373" spans="1:1" x14ac:dyDescent="0.25">
      <c r="A1373" s="59"/>
    </row>
    <row r="1374" spans="1:1" x14ac:dyDescent="0.25">
      <c r="A1374" s="59"/>
    </row>
    <row r="1375" spans="1:1" x14ac:dyDescent="0.25">
      <c r="A1375" s="59"/>
    </row>
    <row r="1376" spans="1:1" x14ac:dyDescent="0.25">
      <c r="A1376" s="59"/>
    </row>
    <row r="1377" spans="1:1" x14ac:dyDescent="0.25">
      <c r="A1377" s="59"/>
    </row>
    <row r="1378" spans="1:1" x14ac:dyDescent="0.25">
      <c r="A1378" s="59"/>
    </row>
    <row r="1379" spans="1:1" x14ac:dyDescent="0.25">
      <c r="A1379" s="59"/>
    </row>
    <row r="1380" spans="1:1" x14ac:dyDescent="0.25">
      <c r="A1380" s="59"/>
    </row>
    <row r="1381" spans="1:1" x14ac:dyDescent="0.25">
      <c r="A1381" s="59"/>
    </row>
    <row r="1382" spans="1:1" x14ac:dyDescent="0.25">
      <c r="A1382" s="59"/>
    </row>
    <row r="1383" spans="1:1" x14ac:dyDescent="0.25">
      <c r="A1383" s="59"/>
    </row>
    <row r="1384" spans="1:1" x14ac:dyDescent="0.25">
      <c r="A1384" s="59"/>
    </row>
    <row r="1385" spans="1:1" x14ac:dyDescent="0.25">
      <c r="A1385" s="59"/>
    </row>
    <row r="1386" spans="1:1" x14ac:dyDescent="0.25">
      <c r="A1386" s="59"/>
    </row>
    <row r="1387" spans="1:1" x14ac:dyDescent="0.25">
      <c r="A1387" s="59"/>
    </row>
    <row r="1388" spans="1:1" x14ac:dyDescent="0.25">
      <c r="A1388" s="59"/>
    </row>
    <row r="1389" spans="1:1" x14ac:dyDescent="0.25">
      <c r="A1389" s="59"/>
    </row>
    <row r="1390" spans="1:1" x14ac:dyDescent="0.25">
      <c r="A1390" s="59"/>
    </row>
    <row r="1391" spans="1:1" x14ac:dyDescent="0.25">
      <c r="A1391" s="59"/>
    </row>
    <row r="1392" spans="1:1" x14ac:dyDescent="0.25">
      <c r="A1392" s="59"/>
    </row>
    <row r="1393" spans="1:1" x14ac:dyDescent="0.25">
      <c r="A1393" s="59"/>
    </row>
    <row r="1394" spans="1:1" x14ac:dyDescent="0.25">
      <c r="A1394" s="59"/>
    </row>
    <row r="1395" spans="1:1" x14ac:dyDescent="0.25">
      <c r="A1395" s="59"/>
    </row>
    <row r="1396" spans="1:1" x14ac:dyDescent="0.25">
      <c r="A1396" s="59"/>
    </row>
    <row r="1397" spans="1:1" x14ac:dyDescent="0.25">
      <c r="A1397" s="59"/>
    </row>
    <row r="1398" spans="1:1" x14ac:dyDescent="0.25">
      <c r="A1398" s="59"/>
    </row>
    <row r="1399" spans="1:1" x14ac:dyDescent="0.25">
      <c r="A1399" s="59"/>
    </row>
    <row r="1400" spans="1:1" x14ac:dyDescent="0.25">
      <c r="A1400" s="59"/>
    </row>
    <row r="1401" spans="1:1" x14ac:dyDescent="0.25">
      <c r="A1401" s="59"/>
    </row>
    <row r="1402" spans="1:1" x14ac:dyDescent="0.25">
      <c r="A1402" s="59"/>
    </row>
    <row r="1403" spans="1:1" x14ac:dyDescent="0.25">
      <c r="A1403" s="59"/>
    </row>
    <row r="1404" spans="1:1" x14ac:dyDescent="0.25">
      <c r="A1404" s="59"/>
    </row>
    <row r="1405" spans="1:1" x14ac:dyDescent="0.25">
      <c r="A1405" s="59"/>
    </row>
    <row r="1406" spans="1:1" x14ac:dyDescent="0.25">
      <c r="A1406" s="59"/>
    </row>
    <row r="1407" spans="1:1" x14ac:dyDescent="0.25">
      <c r="A1407" s="59"/>
    </row>
    <row r="1408" spans="1:1" x14ac:dyDescent="0.25">
      <c r="A1408" s="59"/>
    </row>
    <row r="1409" spans="1:1" x14ac:dyDescent="0.25">
      <c r="A1409" s="59"/>
    </row>
    <row r="1410" spans="1:1" x14ac:dyDescent="0.25">
      <c r="A1410" s="59"/>
    </row>
    <row r="1411" spans="1:1" x14ac:dyDescent="0.25">
      <c r="A1411" s="59"/>
    </row>
    <row r="1412" spans="1:1" x14ac:dyDescent="0.25">
      <c r="A1412" s="59"/>
    </row>
    <row r="1413" spans="1:1" x14ac:dyDescent="0.25">
      <c r="A1413" s="59"/>
    </row>
    <row r="1414" spans="1:1" x14ac:dyDescent="0.25">
      <c r="A1414" s="59"/>
    </row>
    <row r="1415" spans="1:1" x14ac:dyDescent="0.25">
      <c r="A1415" s="59"/>
    </row>
    <row r="1416" spans="1:1" x14ac:dyDescent="0.25">
      <c r="A1416" s="59"/>
    </row>
    <row r="1417" spans="1:1" x14ac:dyDescent="0.25">
      <c r="A1417" s="59"/>
    </row>
    <row r="1418" spans="1:1" x14ac:dyDescent="0.25">
      <c r="A1418" s="59"/>
    </row>
    <row r="1419" spans="1:1" x14ac:dyDescent="0.25">
      <c r="A1419" s="59"/>
    </row>
    <row r="1420" spans="1:1" x14ac:dyDescent="0.25">
      <c r="A1420" s="59"/>
    </row>
    <row r="1421" spans="1:1" x14ac:dyDescent="0.25">
      <c r="A1421" s="59"/>
    </row>
    <row r="1422" spans="1:1" x14ac:dyDescent="0.25">
      <c r="A1422" s="59"/>
    </row>
    <row r="1423" spans="1:1" x14ac:dyDescent="0.25">
      <c r="A1423" s="59"/>
    </row>
    <row r="1424" spans="1:1" x14ac:dyDescent="0.25">
      <c r="A1424" s="59"/>
    </row>
    <row r="1425" spans="1:1" x14ac:dyDescent="0.25">
      <c r="A1425" s="59"/>
    </row>
    <row r="1426" spans="1:1" x14ac:dyDescent="0.25">
      <c r="A1426" s="59"/>
    </row>
    <row r="1427" spans="1:1" x14ac:dyDescent="0.25">
      <c r="A1427" s="59"/>
    </row>
    <row r="1428" spans="1:1" x14ac:dyDescent="0.25">
      <c r="A1428" s="59"/>
    </row>
    <row r="1429" spans="1:1" x14ac:dyDescent="0.25">
      <c r="A1429" s="59"/>
    </row>
    <row r="1430" spans="1:1" x14ac:dyDescent="0.25">
      <c r="A1430" s="59"/>
    </row>
    <row r="1431" spans="1:1" x14ac:dyDescent="0.25">
      <c r="A1431" s="59"/>
    </row>
    <row r="1432" spans="1:1" x14ac:dyDescent="0.25">
      <c r="A1432" s="59"/>
    </row>
    <row r="1433" spans="1:1" x14ac:dyDescent="0.25">
      <c r="A1433" s="59"/>
    </row>
    <row r="1434" spans="1:1" x14ac:dyDescent="0.25">
      <c r="A1434" s="59"/>
    </row>
    <row r="1435" spans="1:1" x14ac:dyDescent="0.25">
      <c r="A1435" s="59"/>
    </row>
    <row r="1436" spans="1:1" x14ac:dyDescent="0.25">
      <c r="A1436" s="59"/>
    </row>
    <row r="1437" spans="1:1" x14ac:dyDescent="0.25">
      <c r="A1437" s="59"/>
    </row>
    <row r="1438" spans="1:1" x14ac:dyDescent="0.25">
      <c r="A1438" s="59"/>
    </row>
    <row r="1439" spans="1:1" x14ac:dyDescent="0.25">
      <c r="A1439" s="59"/>
    </row>
    <row r="1440" spans="1:1" x14ac:dyDescent="0.25">
      <c r="A1440" s="59"/>
    </row>
    <row r="1441" spans="1:1" x14ac:dyDescent="0.25">
      <c r="A1441" s="59"/>
    </row>
    <row r="1442" spans="1:1" x14ac:dyDescent="0.25">
      <c r="A1442" s="59"/>
    </row>
    <row r="1443" spans="1:1" x14ac:dyDescent="0.25">
      <c r="A1443" s="59"/>
    </row>
    <row r="1444" spans="1:1" x14ac:dyDescent="0.25">
      <c r="A1444" s="59"/>
    </row>
    <row r="1445" spans="1:1" x14ac:dyDescent="0.25">
      <c r="A1445" s="59"/>
    </row>
    <row r="1446" spans="1:1" x14ac:dyDescent="0.25">
      <c r="A1446" s="59"/>
    </row>
    <row r="1447" spans="1:1" x14ac:dyDescent="0.25">
      <c r="A1447" s="59"/>
    </row>
    <row r="1448" spans="1:1" x14ac:dyDescent="0.25">
      <c r="A1448" s="59"/>
    </row>
    <row r="1449" spans="1:1" x14ac:dyDescent="0.25">
      <c r="A1449" s="59"/>
    </row>
    <row r="1450" spans="1:1" x14ac:dyDescent="0.25">
      <c r="A1450" s="59"/>
    </row>
    <row r="1451" spans="1:1" x14ac:dyDescent="0.25">
      <c r="A1451" s="59"/>
    </row>
    <row r="1452" spans="1:1" x14ac:dyDescent="0.25">
      <c r="A1452" s="59"/>
    </row>
    <row r="1453" spans="1:1" x14ac:dyDescent="0.25">
      <c r="A1453" s="59"/>
    </row>
    <row r="1454" spans="1:1" x14ac:dyDescent="0.25">
      <c r="A1454" s="59"/>
    </row>
    <row r="1455" spans="1:1" x14ac:dyDescent="0.25">
      <c r="A1455" s="59"/>
    </row>
    <row r="1456" spans="1:1" x14ac:dyDescent="0.25">
      <c r="A1456" s="59"/>
    </row>
    <row r="1457" spans="1:1" x14ac:dyDescent="0.25">
      <c r="A1457" s="59"/>
    </row>
    <row r="1458" spans="1:1" x14ac:dyDescent="0.25">
      <c r="A1458" s="59"/>
    </row>
    <row r="1459" spans="1:1" x14ac:dyDescent="0.25">
      <c r="A1459" s="59"/>
    </row>
    <row r="1460" spans="1:1" x14ac:dyDescent="0.25">
      <c r="A1460" s="59"/>
    </row>
    <row r="1461" spans="1:1" x14ac:dyDescent="0.25">
      <c r="A1461" s="59"/>
    </row>
    <row r="1462" spans="1:1" x14ac:dyDescent="0.25">
      <c r="A1462" s="59"/>
    </row>
    <row r="1463" spans="1:1" x14ac:dyDescent="0.25">
      <c r="A1463" s="59"/>
    </row>
    <row r="1464" spans="1:1" x14ac:dyDescent="0.25">
      <c r="A1464" s="59"/>
    </row>
    <row r="1465" spans="1:1" x14ac:dyDescent="0.25">
      <c r="A1465" s="59"/>
    </row>
    <row r="1466" spans="1:1" x14ac:dyDescent="0.25">
      <c r="A1466" s="59"/>
    </row>
    <row r="1467" spans="1:1" x14ac:dyDescent="0.25">
      <c r="A1467" s="59"/>
    </row>
    <row r="1468" spans="1:1" x14ac:dyDescent="0.25">
      <c r="A1468" s="59"/>
    </row>
    <row r="1469" spans="1:1" x14ac:dyDescent="0.25">
      <c r="A1469" s="59"/>
    </row>
    <row r="1470" spans="1:1" x14ac:dyDescent="0.25">
      <c r="A1470" s="59"/>
    </row>
    <row r="1471" spans="1:1" x14ac:dyDescent="0.25">
      <c r="A1471" s="59"/>
    </row>
    <row r="1472" spans="1:1" x14ac:dyDescent="0.25">
      <c r="A1472" s="59"/>
    </row>
    <row r="1473" spans="1:1" x14ac:dyDescent="0.25">
      <c r="A1473" s="59"/>
    </row>
    <row r="1474" spans="1:1" x14ac:dyDescent="0.25">
      <c r="A1474" s="59"/>
    </row>
    <row r="1475" spans="1:1" x14ac:dyDescent="0.25">
      <c r="A1475" s="59"/>
    </row>
    <row r="1476" spans="1:1" x14ac:dyDescent="0.25">
      <c r="A1476" s="59"/>
    </row>
    <row r="1477" spans="1:1" x14ac:dyDescent="0.25">
      <c r="A1477" s="59"/>
    </row>
    <row r="1478" spans="1:1" x14ac:dyDescent="0.25">
      <c r="A1478" s="59"/>
    </row>
    <row r="1479" spans="1:1" x14ac:dyDescent="0.25">
      <c r="A1479" s="59"/>
    </row>
    <row r="1480" spans="1:1" x14ac:dyDescent="0.25">
      <c r="A1480" s="59"/>
    </row>
    <row r="1481" spans="1:1" x14ac:dyDescent="0.25">
      <c r="A1481" s="59"/>
    </row>
    <row r="1482" spans="1:1" x14ac:dyDescent="0.25">
      <c r="A1482" s="59"/>
    </row>
    <row r="1483" spans="1:1" x14ac:dyDescent="0.25">
      <c r="A1483" s="59"/>
    </row>
    <row r="1484" spans="1:1" x14ac:dyDescent="0.25">
      <c r="A1484" s="59"/>
    </row>
    <row r="1485" spans="1:1" x14ac:dyDescent="0.25">
      <c r="A1485" s="59"/>
    </row>
    <row r="1486" spans="1:1" x14ac:dyDescent="0.25">
      <c r="A1486" s="59"/>
    </row>
    <row r="1487" spans="1:1" x14ac:dyDescent="0.25">
      <c r="A1487" s="59"/>
    </row>
    <row r="1488" spans="1:1" x14ac:dyDescent="0.25">
      <c r="A1488" s="59"/>
    </row>
    <row r="1489" spans="1:1" x14ac:dyDescent="0.25">
      <c r="A1489" s="59"/>
    </row>
    <row r="1490" spans="1:1" x14ac:dyDescent="0.25">
      <c r="A1490" s="59"/>
    </row>
    <row r="1491" spans="1:1" x14ac:dyDescent="0.25">
      <c r="A1491" s="59"/>
    </row>
    <row r="1492" spans="1:1" x14ac:dyDescent="0.25">
      <c r="A1492" s="59"/>
    </row>
    <row r="1493" spans="1:1" x14ac:dyDescent="0.25">
      <c r="A1493" s="59"/>
    </row>
    <row r="1494" spans="1:1" x14ac:dyDescent="0.25">
      <c r="A1494" s="59"/>
    </row>
    <row r="1495" spans="1:1" x14ac:dyDescent="0.25">
      <c r="A1495" s="59"/>
    </row>
    <row r="1496" spans="1:1" x14ac:dyDescent="0.25">
      <c r="A1496" s="59"/>
    </row>
    <row r="1497" spans="1:1" x14ac:dyDescent="0.25">
      <c r="A1497" s="59"/>
    </row>
    <row r="1498" spans="1:1" x14ac:dyDescent="0.25">
      <c r="A1498" s="59"/>
    </row>
    <row r="1499" spans="1:1" x14ac:dyDescent="0.25">
      <c r="A1499" s="59"/>
    </row>
    <row r="1500" spans="1:1" x14ac:dyDescent="0.25">
      <c r="A1500" s="59"/>
    </row>
    <row r="1501" spans="1:1" x14ac:dyDescent="0.25">
      <c r="A1501" s="59"/>
    </row>
    <row r="1502" spans="1:1" x14ac:dyDescent="0.25">
      <c r="A1502" s="59"/>
    </row>
    <row r="1503" spans="1:1" x14ac:dyDescent="0.25">
      <c r="A1503" s="59"/>
    </row>
    <row r="1504" spans="1:1" x14ac:dyDescent="0.25">
      <c r="A1504" s="59"/>
    </row>
    <row r="1505" spans="1:1" x14ac:dyDescent="0.25">
      <c r="A1505" s="59"/>
    </row>
    <row r="1506" spans="1:1" x14ac:dyDescent="0.25">
      <c r="A1506" s="59"/>
    </row>
    <row r="1507" spans="1:1" x14ac:dyDescent="0.25">
      <c r="A1507" s="59"/>
    </row>
    <row r="1508" spans="1:1" x14ac:dyDescent="0.25">
      <c r="A1508" s="59"/>
    </row>
    <row r="1509" spans="1:1" x14ac:dyDescent="0.25">
      <c r="A1509" s="59"/>
    </row>
    <row r="1510" spans="1:1" x14ac:dyDescent="0.25">
      <c r="A1510" s="59"/>
    </row>
    <row r="1511" spans="1:1" x14ac:dyDescent="0.25">
      <c r="A1511" s="59"/>
    </row>
    <row r="1512" spans="1:1" x14ac:dyDescent="0.25">
      <c r="A1512" s="59"/>
    </row>
    <row r="1513" spans="1:1" x14ac:dyDescent="0.25">
      <c r="A1513" s="59"/>
    </row>
    <row r="1514" spans="1:1" x14ac:dyDescent="0.25">
      <c r="A1514" s="59"/>
    </row>
    <row r="1515" spans="1:1" x14ac:dyDescent="0.25">
      <c r="A1515" s="59"/>
    </row>
    <row r="1516" spans="1:1" x14ac:dyDescent="0.25">
      <c r="A1516" s="59"/>
    </row>
    <row r="1517" spans="1:1" x14ac:dyDescent="0.25">
      <c r="A1517" s="59"/>
    </row>
    <row r="1518" spans="1:1" x14ac:dyDescent="0.25">
      <c r="A1518" s="59"/>
    </row>
    <row r="1519" spans="1:1" x14ac:dyDescent="0.25">
      <c r="A1519" s="59"/>
    </row>
    <row r="1520" spans="1:1" x14ac:dyDescent="0.25">
      <c r="A1520" s="59"/>
    </row>
    <row r="1521" spans="1:1" x14ac:dyDescent="0.25">
      <c r="A1521" s="59"/>
    </row>
    <row r="1522" spans="1:1" x14ac:dyDescent="0.25">
      <c r="A1522" s="59"/>
    </row>
    <row r="1523" spans="1:1" x14ac:dyDescent="0.25">
      <c r="A1523" s="59"/>
    </row>
    <row r="1524" spans="1:1" x14ac:dyDescent="0.25">
      <c r="A1524" s="59"/>
    </row>
    <row r="1525" spans="1:1" x14ac:dyDescent="0.25">
      <c r="A1525" s="59"/>
    </row>
    <row r="1526" spans="1:1" x14ac:dyDescent="0.25">
      <c r="A1526" s="59"/>
    </row>
    <row r="1527" spans="1:1" x14ac:dyDescent="0.25">
      <c r="A1527" s="59"/>
    </row>
    <row r="1528" spans="1:1" x14ac:dyDescent="0.25">
      <c r="A1528" s="59"/>
    </row>
  </sheetData>
  <mergeCells count="1">
    <mergeCell ref="P2:R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43B1A-8E44-46D1-B38A-F95F4665B4D5}">
  <dimension ref="A1:U46"/>
  <sheetViews>
    <sheetView rightToLeft="1" topLeftCell="C1" zoomScaleNormal="100" workbookViewId="0">
      <selection activeCell="Q26" sqref="Q26"/>
    </sheetView>
  </sheetViews>
  <sheetFormatPr defaultRowHeight="13.8" x14ac:dyDescent="0.25"/>
  <cols>
    <col min="1" max="1" width="8.796875" style="41"/>
    <col min="2" max="2" width="15" style="41" bestFit="1" customWidth="1"/>
    <col min="3" max="3" width="11" style="41" customWidth="1"/>
    <col min="4" max="4" width="14.69921875" style="41" customWidth="1"/>
    <col min="5" max="5" width="10.5" style="41" bestFit="1" customWidth="1"/>
    <col min="6" max="6" width="11.69921875" style="41" customWidth="1"/>
    <col min="7" max="7" width="8.796875" style="41"/>
    <col min="8" max="8" width="20.8984375" style="41" customWidth="1"/>
    <col min="9" max="9" width="17.5" style="41" customWidth="1"/>
    <col min="10" max="10" width="16.3984375" style="41" customWidth="1"/>
    <col min="11" max="11" width="8.796875" style="41"/>
    <col min="12" max="12" width="9.8984375" style="41" bestFit="1" customWidth="1"/>
    <col min="13" max="13" width="27.69921875" style="41" customWidth="1"/>
    <col min="14" max="17" width="8.796875" style="41"/>
    <col min="18" max="19" width="10.59765625" style="41" bestFit="1" customWidth="1"/>
    <col min="20" max="16384" width="8.796875" style="41"/>
  </cols>
  <sheetData>
    <row r="1" spans="1:21" s="34" customFormat="1" ht="55.8" x14ac:dyDescent="0.3">
      <c r="A1" s="32" t="s">
        <v>0</v>
      </c>
      <c r="B1" s="32" t="s">
        <v>1</v>
      </c>
      <c r="C1" s="32" t="s">
        <v>2</v>
      </c>
      <c r="D1" s="32" t="s">
        <v>3</v>
      </c>
      <c r="E1" s="32" t="s">
        <v>4</v>
      </c>
      <c r="F1" s="32" t="s">
        <v>5</v>
      </c>
      <c r="G1" s="32" t="s">
        <v>6</v>
      </c>
      <c r="H1" s="32" t="s">
        <v>7</v>
      </c>
      <c r="I1" s="33" t="s">
        <v>133</v>
      </c>
      <c r="J1" s="33" t="s">
        <v>134</v>
      </c>
      <c r="K1" s="33" t="s">
        <v>135</v>
      </c>
      <c r="L1" s="33" t="s">
        <v>34</v>
      </c>
      <c r="M1" s="33" t="s">
        <v>136</v>
      </c>
      <c r="N1" s="32" t="s">
        <v>1</v>
      </c>
      <c r="Q1" s="170"/>
      <c r="R1" s="171"/>
      <c r="S1" s="171"/>
      <c r="T1" s="170"/>
      <c r="U1" s="170"/>
    </row>
    <row r="2" spans="1:21" ht="14.4" x14ac:dyDescent="0.3">
      <c r="A2" s="35">
        <v>1855</v>
      </c>
      <c r="B2" s="35" t="s">
        <v>8</v>
      </c>
      <c r="C2" s="35" t="s">
        <v>9</v>
      </c>
      <c r="D2" s="36">
        <v>43723</v>
      </c>
      <c r="E2" s="37">
        <v>2500</v>
      </c>
      <c r="F2" s="35">
        <v>10</v>
      </c>
      <c r="G2" s="38">
        <v>8.9999999999999993E-3</v>
      </c>
      <c r="H2" s="39">
        <v>16761.877886011072</v>
      </c>
      <c r="I2" s="40">
        <f t="shared" ref="I2:I25" si="0">(H2-E2)*$B$28*(1-G2)</f>
        <v>43813.915053614619</v>
      </c>
      <c r="J2" s="40">
        <f>VLOOKUP(F2,'[3]נתונים נוספים'!$A$4:$D$9,VLOOKUP(countIf!C2,'[3]נתונים נוספים'!$F$4:$G$6,2,0),0)*countIf!$B$28*H2</f>
        <v>7794.2732169951478</v>
      </c>
      <c r="K2" s="41" t="str">
        <f>TEXT(D2,"mmmm")</f>
        <v>ספטמבר</v>
      </c>
      <c r="L2" s="42">
        <f>IF(AND(C2=$L$32,E2&lt;$L$33),DATE(YEAR(D2)+$L$34,MONTH(D2),$L$35),IF(OR(F2=$L$40,F2=$L$41),DATE($L$36,$L$37,DAY(D2)),DATE(YEAR(D2),MONTH(D2)+$L$38,DAY(D2)+$L$39)))</f>
        <v>44440</v>
      </c>
      <c r="M2" s="41" t="str">
        <f>IF(C2=$M$33,IF(E2&lt;=$M$34,$M$35,$M$36),IF(C2=$M$32,IF(YEAR(D2)&lt;=$M$37,$M$39,IF(YEAR(D2)&lt;=$M$38,$M$40,$M$41)),$M$42))</f>
        <v>תווי קניה</v>
      </c>
      <c r="N2" s="41" t="str">
        <f>B2</f>
        <v>NI</v>
      </c>
      <c r="Q2" s="168"/>
      <c r="R2" s="172"/>
      <c r="S2" s="173"/>
      <c r="T2" s="168"/>
      <c r="U2" s="168"/>
    </row>
    <row r="3" spans="1:21" ht="14.4" x14ac:dyDescent="0.3">
      <c r="A3" s="35">
        <v>1856</v>
      </c>
      <c r="B3" s="35" t="s">
        <v>10</v>
      </c>
      <c r="C3" s="35" t="s">
        <v>11</v>
      </c>
      <c r="D3" s="36">
        <v>42075</v>
      </c>
      <c r="E3" s="37">
        <v>146726</v>
      </c>
      <c r="F3" s="35">
        <v>13</v>
      </c>
      <c r="G3" s="38">
        <v>2.8999999999999998E-3</v>
      </c>
      <c r="H3" s="39">
        <v>214094.11260178176</v>
      </c>
      <c r="I3" s="40">
        <f t="shared" si="0"/>
        <v>208235.50973323346</v>
      </c>
      <c r="J3" s="40">
        <f>VLOOKUP(F3,'[3]נתונים נוספים'!$A$4:$D$9,VLOOKUP(countIf!C3,'[3]נתונים נוספים'!$F$4:$G$6,2,0),0)*countIf!$B$28*H3</f>
        <v>142693.72604908753</v>
      </c>
      <c r="K3" s="41" t="str">
        <f t="shared" ref="K3:K26" si="1">TEXT(D3,"mmmm")</f>
        <v>מרץ</v>
      </c>
      <c r="L3" s="42">
        <f t="shared" ref="L3:L26" si="2">IF(AND(C3=$L$32,E3&lt;$L$33),DATE(YEAR(D3)+$L$34,MONTH(D3),$L$35),IF(OR(F3=$L$40,F3=$L$41),DATE($L$36,$L$37,DAY(D3)),DATE(YEAR(D3),MONTH(D3)+$L$38,DAY(D3)+$L$39)))</f>
        <v>42332</v>
      </c>
      <c r="M3" s="41" t="str">
        <f t="shared" ref="M3:M26" si="3">IF(C3=$M$33,IF(E3&lt;=$M$34,$M$35,$M$36),IF(C3=$M$32,IF(YEAR(D3)&lt;=$M$37,$M$39,IF(YEAR(D3)&lt;=$M$38,$M$40,$M$41)),$M$42))</f>
        <v>חופשה בפריז</v>
      </c>
      <c r="N3" s="41" t="str">
        <f t="shared" ref="N3:N26" si="4">B3</f>
        <v>KF</v>
      </c>
      <c r="Q3" s="168"/>
      <c r="R3" s="172"/>
      <c r="S3" s="173"/>
      <c r="T3" s="168"/>
      <c r="U3" s="168"/>
    </row>
    <row r="4" spans="1:21" ht="14.4" x14ac:dyDescent="0.3">
      <c r="A4" s="35">
        <v>1857</v>
      </c>
      <c r="B4" s="35" t="s">
        <v>12</v>
      </c>
      <c r="C4" s="35" t="s">
        <v>9</v>
      </c>
      <c r="D4" s="36">
        <v>43007</v>
      </c>
      <c r="E4" s="37">
        <v>253094</v>
      </c>
      <c r="F4" s="35">
        <v>10</v>
      </c>
      <c r="G4" s="38">
        <v>6.0000000000000001E-3</v>
      </c>
      <c r="H4" s="39">
        <v>307637.33883750002</v>
      </c>
      <c r="I4" s="40">
        <f t="shared" si="0"/>
        <v>168069.84429387259</v>
      </c>
      <c r="J4" s="40">
        <f>VLOOKUP(F4,'[3]נתונים נוספים'!$A$4:$D$9,VLOOKUP(countIf!C4,'[3]נתונים נוספים'!$F$4:$G$6,2,0),0)*countIf!$B$28*H4</f>
        <v>143051.36255943749</v>
      </c>
      <c r="K4" s="41" t="str">
        <f t="shared" si="1"/>
        <v>ספטמבר</v>
      </c>
      <c r="L4" s="42">
        <f t="shared" si="2"/>
        <v>43261</v>
      </c>
      <c r="M4" s="41" t="str">
        <f t="shared" si="3"/>
        <v>תווי קניה</v>
      </c>
      <c r="N4" s="41" t="str">
        <f t="shared" si="4"/>
        <v>CC</v>
      </c>
      <c r="Q4" s="168"/>
      <c r="R4" s="172"/>
      <c r="S4" s="173"/>
      <c r="T4" s="168"/>
      <c r="U4" s="168"/>
    </row>
    <row r="5" spans="1:21" ht="14.4" x14ac:dyDescent="0.3">
      <c r="A5" s="35">
        <v>1858</v>
      </c>
      <c r="B5" s="35" t="s">
        <v>13</v>
      </c>
      <c r="C5" s="35" t="s">
        <v>9</v>
      </c>
      <c r="D5" s="36">
        <v>42367</v>
      </c>
      <c r="E5" s="37">
        <v>70131</v>
      </c>
      <c r="F5" s="35">
        <v>14</v>
      </c>
      <c r="G5" s="38">
        <v>1E-3</v>
      </c>
      <c r="H5" s="39">
        <v>332458.09982047207</v>
      </c>
      <c r="I5" s="40">
        <f t="shared" si="0"/>
        <v>812400.79543401999</v>
      </c>
      <c r="J5" s="40">
        <f>VLOOKUP(F5,'[3]נתונים נוספים'!$A$4:$D$9,VLOOKUP(countIf!C5,'[3]נתונים נוספים'!$F$4:$G$6,2,0),0)*countIf!$B$28*H5</f>
        <v>164899.21751095416</v>
      </c>
      <c r="K5" s="41" t="str">
        <f t="shared" si="1"/>
        <v>דצמבר</v>
      </c>
      <c r="L5" s="42">
        <f t="shared" si="2"/>
        <v>44649</v>
      </c>
      <c r="M5" s="41" t="str">
        <f t="shared" si="3"/>
        <v>סט סירים</v>
      </c>
      <c r="N5" s="41" t="str">
        <f t="shared" si="4"/>
        <v>BJ</v>
      </c>
      <c r="Q5" s="168"/>
      <c r="R5" s="172"/>
      <c r="S5" s="173"/>
      <c r="T5" s="168"/>
      <c r="U5" s="168"/>
    </row>
    <row r="6" spans="1:21" ht="14.4" x14ac:dyDescent="0.3">
      <c r="A6" s="35">
        <v>1859</v>
      </c>
      <c r="B6" s="35" t="s">
        <v>14</v>
      </c>
      <c r="C6" s="35" t="s">
        <v>9</v>
      </c>
      <c r="D6" s="36">
        <v>43866</v>
      </c>
      <c r="E6" s="37">
        <v>63372</v>
      </c>
      <c r="F6" s="35">
        <v>15</v>
      </c>
      <c r="G6" s="38">
        <v>1E-3</v>
      </c>
      <c r="H6" s="39">
        <v>1229261.9753939065</v>
      </c>
      <c r="I6" s="40">
        <f t="shared" si="0"/>
        <v>3610644.6647973889</v>
      </c>
      <c r="J6" s="40">
        <f>VLOOKUP(F6,'[3]נתונים נוספים'!$A$4:$D$9,VLOOKUP(countIf!C6,'[3]נתונים נוספים'!$F$4:$G$6,2,0),0)*countIf!$B$28*H6</f>
        <v>819303.10660003859</v>
      </c>
      <c r="K6" s="41" t="str">
        <f t="shared" si="1"/>
        <v>פברואר</v>
      </c>
      <c r="L6" s="42">
        <f t="shared" si="2"/>
        <v>44625</v>
      </c>
      <c r="M6" s="41" t="str">
        <f t="shared" si="3"/>
        <v>תווי קניה</v>
      </c>
      <c r="N6" s="41" t="str">
        <f t="shared" si="4"/>
        <v>DE</v>
      </c>
      <c r="Q6" s="168"/>
      <c r="R6" s="172"/>
      <c r="S6" s="173"/>
      <c r="T6" s="168"/>
      <c r="U6" s="168"/>
    </row>
    <row r="7" spans="1:21" ht="14.4" x14ac:dyDescent="0.3">
      <c r="A7" s="35">
        <v>1860</v>
      </c>
      <c r="B7" s="35" t="s">
        <v>13</v>
      </c>
      <c r="C7" s="35" t="s">
        <v>11</v>
      </c>
      <c r="D7" s="36">
        <v>43604</v>
      </c>
      <c r="E7" s="37">
        <v>72483</v>
      </c>
      <c r="F7" s="35">
        <v>15</v>
      </c>
      <c r="G7" s="38">
        <v>1E-3</v>
      </c>
      <c r="H7" s="39">
        <v>1877660.4186721272</v>
      </c>
      <c r="I7" s="40">
        <f t="shared" si="0"/>
        <v>5590453.9478857107</v>
      </c>
      <c r="J7" s="40">
        <f>VLOOKUP(F7,'[3]נתונים נוספים'!$A$4:$D$9,VLOOKUP(countIf!C7,'[3]נתונים נוספים'!$F$4:$G$6,2,0),0)*countIf!$B$28*H7</f>
        <v>582074.72978835949</v>
      </c>
      <c r="K7" s="41" t="str">
        <f t="shared" si="1"/>
        <v>מאי</v>
      </c>
      <c r="L7" s="42">
        <f t="shared" si="2"/>
        <v>44639</v>
      </c>
      <c r="M7" s="41" t="str">
        <f t="shared" si="3"/>
        <v>חופשה בפריז</v>
      </c>
      <c r="N7" s="41" t="str">
        <f t="shared" si="4"/>
        <v>BJ</v>
      </c>
      <c r="Q7" s="337" t="s">
        <v>364</v>
      </c>
      <c r="R7" s="264"/>
      <c r="S7" s="264"/>
      <c r="T7" s="264"/>
      <c r="U7" s="168"/>
    </row>
    <row r="8" spans="1:21" ht="14.4" x14ac:dyDescent="0.3">
      <c r="A8" s="35">
        <v>1861</v>
      </c>
      <c r="B8" s="35" t="s">
        <v>15</v>
      </c>
      <c r="C8" s="35" t="s">
        <v>11</v>
      </c>
      <c r="D8" s="36">
        <v>42562</v>
      </c>
      <c r="E8" s="37">
        <v>108877</v>
      </c>
      <c r="F8" s="35">
        <v>13</v>
      </c>
      <c r="G8" s="38">
        <v>2.8999999999999998E-3</v>
      </c>
      <c r="H8" s="39">
        <v>986671.12314671697</v>
      </c>
      <c r="I8" s="40">
        <f t="shared" si="0"/>
        <v>2713270.4125877335</v>
      </c>
      <c r="J8" s="40">
        <f>VLOOKUP(F8,'[3]נתונים נוספים'!$A$4:$D$9,VLOOKUP(countIf!C8,'[3]נתונים נוספים'!$F$4:$G$6,2,0),0)*countIf!$B$28*H8</f>
        <v>657616.30357728689</v>
      </c>
      <c r="K8" s="41" t="str">
        <f t="shared" si="1"/>
        <v>יולי</v>
      </c>
      <c r="L8" s="42">
        <f t="shared" si="2"/>
        <v>42817</v>
      </c>
      <c r="M8" s="41" t="str">
        <f t="shared" si="3"/>
        <v>חופשה בפריז</v>
      </c>
      <c r="N8" s="41" t="str">
        <f t="shared" si="4"/>
        <v>CK</v>
      </c>
      <c r="Q8" s="264"/>
      <c r="R8" s="264"/>
      <c r="S8" s="264"/>
      <c r="T8" s="264"/>
      <c r="U8" s="168"/>
    </row>
    <row r="9" spans="1:21" ht="14.4" x14ac:dyDescent="0.3">
      <c r="A9" s="35">
        <v>1862</v>
      </c>
      <c r="B9" s="35" t="s">
        <v>16</v>
      </c>
      <c r="C9" s="35" t="s">
        <v>11</v>
      </c>
      <c r="D9" s="36">
        <v>44321</v>
      </c>
      <c r="E9" s="37">
        <v>96681</v>
      </c>
      <c r="F9" s="35">
        <v>10</v>
      </c>
      <c r="G9" s="38">
        <v>7.0000000000000001E-3</v>
      </c>
      <c r="H9" s="39">
        <v>191421.76696540037</v>
      </c>
      <c r="I9" s="40">
        <f t="shared" si="0"/>
        <v>291640.50294959196</v>
      </c>
      <c r="J9" s="40">
        <f>VLOOKUP(F9,'[3]נתונים נוספים'!$A$4:$D$9,VLOOKUP(countIf!C9,'[3]נתונים נוספים'!$F$4:$G$6,2,0),0)*countIf!$B$28*H9</f>
        <v>89011.121638911165</v>
      </c>
      <c r="K9" s="41" t="str">
        <f t="shared" si="1"/>
        <v>מאי</v>
      </c>
      <c r="L9" s="42">
        <f t="shared" si="2"/>
        <v>44578</v>
      </c>
      <c r="M9" s="41" t="str">
        <f t="shared" si="3"/>
        <v>חופשה בפריז</v>
      </c>
      <c r="N9" s="41" t="str">
        <f t="shared" si="4"/>
        <v>JK</v>
      </c>
      <c r="Q9" s="264" t="s">
        <v>359</v>
      </c>
      <c r="R9" s="264"/>
      <c r="S9" s="264"/>
      <c r="T9" s="264"/>
      <c r="U9" s="168"/>
    </row>
    <row r="10" spans="1:21" ht="14.4" x14ac:dyDescent="0.3">
      <c r="A10" s="35">
        <v>1863</v>
      </c>
      <c r="B10" s="35" t="s">
        <v>17</v>
      </c>
      <c r="C10" s="35" t="s">
        <v>11</v>
      </c>
      <c r="D10" s="36">
        <v>43400</v>
      </c>
      <c r="E10" s="37">
        <v>66590</v>
      </c>
      <c r="F10" s="35">
        <v>15</v>
      </c>
      <c r="G10" s="38">
        <v>1E-3</v>
      </c>
      <c r="H10" s="39">
        <v>377756.68354481296</v>
      </c>
      <c r="I10" s="40">
        <f t="shared" si="0"/>
        <v>963652.10226993135</v>
      </c>
      <c r="J10" s="40">
        <f>VLOOKUP(F10,'[3]נתונים נוספים'!$A$4:$D$9,VLOOKUP(countIf!C10,'[3]נתונים נוספים'!$F$4:$G$6,2,0),0)*countIf!$B$28*H10</f>
        <v>117104.57189889204</v>
      </c>
      <c r="K10" s="41" t="str">
        <f t="shared" si="1"/>
        <v>אוקטובר</v>
      </c>
      <c r="L10" s="42">
        <f t="shared" si="2"/>
        <v>44647</v>
      </c>
      <c r="M10" s="41" t="str">
        <f t="shared" si="3"/>
        <v>חופשה בפריז</v>
      </c>
      <c r="N10" s="41" t="str">
        <f t="shared" si="4"/>
        <v>DJ</v>
      </c>
      <c r="Q10" s="168"/>
      <c r="R10" s="172"/>
      <c r="S10" s="173"/>
      <c r="T10" s="168"/>
      <c r="U10" s="168"/>
    </row>
    <row r="11" spans="1:21" ht="14.4" x14ac:dyDescent="0.3">
      <c r="A11" s="35">
        <v>1864</v>
      </c>
      <c r="B11" s="35" t="s">
        <v>18</v>
      </c>
      <c r="C11" s="35" t="s">
        <v>19</v>
      </c>
      <c r="D11" s="36">
        <v>43977</v>
      </c>
      <c r="E11" s="37">
        <v>224708</v>
      </c>
      <c r="F11" s="35">
        <v>10</v>
      </c>
      <c r="G11" s="38">
        <v>6.0000000000000001E-3</v>
      </c>
      <c r="H11" s="39">
        <v>3453180.5195543682</v>
      </c>
      <c r="I11" s="40">
        <f t="shared" si="0"/>
        <v>9948215.2217548303</v>
      </c>
      <c r="J11" s="40">
        <f>VLOOKUP(F11,'[3]נתונים נוספים'!$A$4:$D$9,VLOOKUP(countIf!C11,'[3]נתונים נוספים'!$F$4:$G$6,2,0),0)*countIf!$B$28*H11</f>
        <v>1070485.9610618544</v>
      </c>
      <c r="K11" s="41" t="str">
        <f t="shared" si="1"/>
        <v>מאי</v>
      </c>
      <c r="L11" s="42">
        <f t="shared" si="2"/>
        <v>44234</v>
      </c>
      <c r="M11" s="41" t="str">
        <f t="shared" si="3"/>
        <v>ללא מתנה</v>
      </c>
      <c r="N11" s="41" t="str">
        <f t="shared" si="4"/>
        <v>LB</v>
      </c>
      <c r="Q11" s="168"/>
      <c r="R11" s="172"/>
      <c r="S11" s="173"/>
      <c r="T11" s="168"/>
      <c r="U11" s="168"/>
    </row>
    <row r="12" spans="1:21" ht="14.4" x14ac:dyDescent="0.3">
      <c r="A12" s="35">
        <v>1865</v>
      </c>
      <c r="B12" s="35" t="s">
        <v>20</v>
      </c>
      <c r="C12" s="35" t="s">
        <v>9</v>
      </c>
      <c r="D12" s="36">
        <v>44029</v>
      </c>
      <c r="E12" s="37">
        <v>49492</v>
      </c>
      <c r="F12" s="35">
        <v>14</v>
      </c>
      <c r="G12" s="38">
        <v>1.1000000000000001E-3</v>
      </c>
      <c r="H12" s="39">
        <v>2044762.0534205888</v>
      </c>
      <c r="I12" s="40">
        <f t="shared" si="0"/>
        <v>6178533.2947216621</v>
      </c>
      <c r="J12" s="40">
        <f>VLOOKUP(F12,'[3]נתונים נוספים'!$A$4:$D$9,VLOOKUP(countIf!C12,'[3]נתונים נוספים'!$F$4:$G$6,2,0),0)*countIf!$B$28*H12</f>
        <v>1014201.9784966122</v>
      </c>
      <c r="K12" s="41" t="str">
        <f t="shared" si="1"/>
        <v>יולי</v>
      </c>
      <c r="L12" s="42">
        <f t="shared" si="2"/>
        <v>44743</v>
      </c>
      <c r="M12" s="41" t="str">
        <f t="shared" si="3"/>
        <v>תווי קניה</v>
      </c>
      <c r="N12" s="41" t="str">
        <f t="shared" si="4"/>
        <v>LM</v>
      </c>
      <c r="Q12" s="168"/>
      <c r="R12" s="172"/>
      <c r="S12" s="173"/>
      <c r="T12" s="168"/>
      <c r="U12" s="168"/>
    </row>
    <row r="13" spans="1:21" ht="14.4" x14ac:dyDescent="0.3">
      <c r="A13" s="35">
        <v>1866</v>
      </c>
      <c r="B13" s="35" t="s">
        <v>21</v>
      </c>
      <c r="C13" s="35" t="s">
        <v>9</v>
      </c>
      <c r="D13" s="36">
        <v>40661</v>
      </c>
      <c r="E13" s="37">
        <v>76982</v>
      </c>
      <c r="F13" s="35">
        <v>13</v>
      </c>
      <c r="G13" s="38">
        <v>3.8999999999999998E-3</v>
      </c>
      <c r="H13" s="39">
        <v>2617985.4305046364</v>
      </c>
      <c r="I13" s="40">
        <f t="shared" si="0"/>
        <v>7846389.9030895717</v>
      </c>
      <c r="J13" s="40">
        <f>VLOOKUP(F13,'[3]נתונים נוספים'!$A$4:$D$9,VLOOKUP(countIf!C13,'[3]נתונים נוספים'!$F$4:$G$6,2,0),0)*countIf!$B$28*H13</f>
        <v>1866623.6119498059</v>
      </c>
      <c r="K13" s="41" t="str">
        <f t="shared" si="1"/>
        <v>אפריל</v>
      </c>
      <c r="L13" s="42">
        <f t="shared" si="2"/>
        <v>40917</v>
      </c>
      <c r="M13" s="41" t="str">
        <f t="shared" si="3"/>
        <v>כרטיס להופעה</v>
      </c>
      <c r="N13" s="41" t="str">
        <f t="shared" si="4"/>
        <v>BK</v>
      </c>
      <c r="Q13" s="168"/>
      <c r="R13" s="172"/>
      <c r="S13" s="173"/>
      <c r="T13" s="168"/>
      <c r="U13" s="168"/>
    </row>
    <row r="14" spans="1:21" ht="14.4" x14ac:dyDescent="0.3">
      <c r="A14" s="35">
        <v>1867</v>
      </c>
      <c r="B14" s="35" t="s">
        <v>22</v>
      </c>
      <c r="C14" s="35" t="s">
        <v>19</v>
      </c>
      <c r="D14" s="36">
        <v>40434</v>
      </c>
      <c r="E14" s="37">
        <v>184883</v>
      </c>
      <c r="F14" s="35">
        <v>10</v>
      </c>
      <c r="G14" s="38">
        <v>6.0000000000000001E-3</v>
      </c>
      <c r="H14" s="39">
        <v>2226133.6383189736</v>
      </c>
      <c r="I14" s="40">
        <f t="shared" si="0"/>
        <v>6289909.7169160852</v>
      </c>
      <c r="J14" s="40">
        <f>VLOOKUP(F14,'[3]נתונים נוספים'!$A$4:$D$9,VLOOKUP(countIf!C14,'[3]נתונים נוספים'!$F$4:$G$6,2,0),0)*countIf!$B$28*H14</f>
        <v>690101.42787888192</v>
      </c>
      <c r="K14" s="41" t="str">
        <f t="shared" si="1"/>
        <v>ספטמבר</v>
      </c>
      <c r="L14" s="42">
        <f t="shared" si="2"/>
        <v>40688</v>
      </c>
      <c r="M14" s="41" t="str">
        <f t="shared" si="3"/>
        <v>ללא מתנה</v>
      </c>
      <c r="N14" s="41" t="str">
        <f t="shared" si="4"/>
        <v>DK</v>
      </c>
    </row>
    <row r="15" spans="1:21" ht="14.4" x14ac:dyDescent="0.3">
      <c r="A15" s="35">
        <v>1868</v>
      </c>
      <c r="B15" s="35" t="s">
        <v>23</v>
      </c>
      <c r="C15" s="35" t="s">
        <v>19</v>
      </c>
      <c r="D15" s="36">
        <v>41924</v>
      </c>
      <c r="E15" s="37">
        <v>8780</v>
      </c>
      <c r="F15" s="35">
        <v>10</v>
      </c>
      <c r="G15" s="38">
        <v>8.9999999999999993E-3</v>
      </c>
      <c r="H15" s="39">
        <v>122381.75185310727</v>
      </c>
      <c r="I15" s="40">
        <f t="shared" si="0"/>
        <v>348995.94186793087</v>
      </c>
      <c r="J15" s="40">
        <f>VLOOKUP(F15,'[3]נתונים נוספים'!$A$4:$D$9,VLOOKUP(countIf!C15,'[3]נתונים נוספים'!$F$4:$G$6,2,0),0)*countIf!$B$28*H15</f>
        <v>37938.343074463257</v>
      </c>
      <c r="K15" s="41" t="str">
        <f t="shared" si="1"/>
        <v>אוקטובר</v>
      </c>
      <c r="L15" s="42">
        <f t="shared" si="2"/>
        <v>42179</v>
      </c>
      <c r="M15" s="41" t="str">
        <f t="shared" si="3"/>
        <v>ללא מתנה</v>
      </c>
      <c r="N15" s="41" t="str">
        <f t="shared" si="4"/>
        <v>KL</v>
      </c>
    </row>
    <row r="16" spans="1:21" ht="14.4" x14ac:dyDescent="0.3">
      <c r="A16" s="35">
        <v>1869</v>
      </c>
      <c r="B16" s="35" t="s">
        <v>24</v>
      </c>
      <c r="C16" s="35" t="s">
        <v>9</v>
      </c>
      <c r="D16" s="36">
        <v>41231</v>
      </c>
      <c r="E16" s="37">
        <v>46900</v>
      </c>
      <c r="F16" s="35">
        <v>14</v>
      </c>
      <c r="G16" s="38">
        <v>1.1000000000000001E-3</v>
      </c>
      <c r="H16" s="39">
        <v>80582.931834117058</v>
      </c>
      <c r="I16" s="40">
        <f t="shared" si="0"/>
        <v>104302.22988820855</v>
      </c>
      <c r="J16" s="40">
        <f>VLOOKUP(F16,'[3]נתונים נוספים'!$A$4:$D$9,VLOOKUP(countIf!C16,'[3]נתונים נוספים'!$F$4:$G$6,2,0),0)*countIf!$B$28*H16</f>
        <v>39969.134189722063</v>
      </c>
      <c r="K16" s="41" t="str">
        <f t="shared" si="1"/>
        <v>נובמבר</v>
      </c>
      <c r="L16" s="42">
        <f t="shared" si="2"/>
        <v>41944</v>
      </c>
      <c r="M16" s="41" t="str">
        <f t="shared" si="3"/>
        <v>כרטיס להופעה</v>
      </c>
      <c r="N16" s="41" t="str">
        <f t="shared" si="4"/>
        <v>NE</v>
      </c>
    </row>
    <row r="17" spans="1:21" ht="14.4" x14ac:dyDescent="0.3">
      <c r="A17" s="35">
        <v>1870</v>
      </c>
      <c r="B17" s="35" t="s">
        <v>25</v>
      </c>
      <c r="C17" s="35" t="s">
        <v>9</v>
      </c>
      <c r="D17" s="36">
        <v>41419</v>
      </c>
      <c r="E17" s="37">
        <v>162174</v>
      </c>
      <c r="F17" s="35">
        <v>14</v>
      </c>
      <c r="G17" s="38">
        <v>8.0000000000000004E-4</v>
      </c>
      <c r="H17" s="39">
        <v>1078268.712803452</v>
      </c>
      <c r="I17" s="40">
        <f t="shared" si="0"/>
        <v>2837621.6948029487</v>
      </c>
      <c r="J17" s="40">
        <f>VLOOKUP(F17,'[3]נתונים נוספים'!$A$4:$D$9,VLOOKUP(countIf!C17,'[3]נתונים נוספים'!$F$4:$G$6,2,0),0)*countIf!$B$28*H17</f>
        <v>534821.2815505123</v>
      </c>
      <c r="K17" s="41" t="str">
        <f t="shared" si="1"/>
        <v>מאי</v>
      </c>
      <c r="L17" s="42">
        <f t="shared" si="2"/>
        <v>44645</v>
      </c>
      <c r="M17" s="41" t="str">
        <f t="shared" si="3"/>
        <v>סט סירים</v>
      </c>
      <c r="N17" s="41" t="str">
        <f t="shared" si="4"/>
        <v>MK</v>
      </c>
      <c r="Q17" s="53"/>
    </row>
    <row r="18" spans="1:21" ht="14.4" x14ac:dyDescent="0.3">
      <c r="A18" s="35">
        <v>1871</v>
      </c>
      <c r="B18" s="35" t="s">
        <v>20</v>
      </c>
      <c r="C18" s="35" t="s">
        <v>9</v>
      </c>
      <c r="D18" s="36">
        <v>41617</v>
      </c>
      <c r="E18" s="37">
        <v>10321</v>
      </c>
      <c r="F18" s="35">
        <v>14</v>
      </c>
      <c r="G18" s="38">
        <v>1.1000000000000001E-3</v>
      </c>
      <c r="H18" s="39">
        <v>372444.86881914415</v>
      </c>
      <c r="I18" s="40">
        <f t="shared" si="0"/>
        <v>1121349.1509466737</v>
      </c>
      <c r="J18" s="40">
        <f>VLOOKUP(F18,'[3]נתונים נוספים'!$A$4:$D$9,VLOOKUP(countIf!C18,'[3]נתונים נוספים'!$F$4:$G$6,2,0),0)*countIf!$B$28*H18</f>
        <v>184732.65493429551</v>
      </c>
      <c r="K18" s="41" t="str">
        <f t="shared" si="1"/>
        <v>דצמבר</v>
      </c>
      <c r="L18" s="42">
        <f t="shared" si="2"/>
        <v>42339</v>
      </c>
      <c r="M18" s="41" t="str">
        <f t="shared" si="3"/>
        <v>סט סירים</v>
      </c>
      <c r="N18" s="41" t="str">
        <f t="shared" si="4"/>
        <v>LM</v>
      </c>
      <c r="R18" s="53"/>
    </row>
    <row r="19" spans="1:21" ht="14.4" x14ac:dyDescent="0.3">
      <c r="A19" s="35">
        <v>1872</v>
      </c>
      <c r="B19" s="35" t="s">
        <v>26</v>
      </c>
      <c r="C19" s="35" t="s">
        <v>9</v>
      </c>
      <c r="D19" s="36">
        <v>43638</v>
      </c>
      <c r="E19" s="37">
        <v>56091</v>
      </c>
      <c r="F19" s="35">
        <v>15</v>
      </c>
      <c r="G19" s="38">
        <v>1E-3</v>
      </c>
      <c r="H19" s="39">
        <v>1453028.3037917621</v>
      </c>
      <c r="I19" s="40">
        <f t="shared" si="0"/>
        <v>4326175.1361127077</v>
      </c>
      <c r="J19" s="40">
        <f>VLOOKUP(F19,'[3]נתונים נוספים'!$A$4:$D$9,VLOOKUP(countIf!C19,'[3]נתונים נוספים'!$F$4:$G$6,2,0),0)*countIf!$B$28*H19</f>
        <v>968443.3644772094</v>
      </c>
      <c r="K19" s="41" t="str">
        <f t="shared" si="1"/>
        <v>יוני</v>
      </c>
      <c r="L19" s="42">
        <f t="shared" si="2"/>
        <v>44642</v>
      </c>
      <c r="M19" s="41" t="str">
        <f t="shared" si="3"/>
        <v>תווי קניה</v>
      </c>
      <c r="N19" s="41" t="str">
        <f t="shared" si="4"/>
        <v>FD</v>
      </c>
    </row>
    <row r="20" spans="1:21" ht="14.4" x14ac:dyDescent="0.3">
      <c r="A20" s="35">
        <v>1873</v>
      </c>
      <c r="B20" s="35" t="s">
        <v>27</v>
      </c>
      <c r="C20" s="35" t="s">
        <v>11</v>
      </c>
      <c r="D20" s="36">
        <v>43291</v>
      </c>
      <c r="E20" s="37">
        <v>12866</v>
      </c>
      <c r="F20" s="35">
        <v>10</v>
      </c>
      <c r="G20" s="38">
        <v>8.0000000000000002E-3</v>
      </c>
      <c r="H20" s="39">
        <v>133822.73527755728</v>
      </c>
      <c r="I20" s="40">
        <f t="shared" si="0"/>
        <v>371966.15232554416</v>
      </c>
      <c r="J20" s="40">
        <f>VLOOKUP(F20,'[3]נתונים נוספים'!$A$4:$D$9,VLOOKUP(countIf!C20,'[3]נתונים נוספים'!$F$4:$G$6,2,0),0)*countIf!$B$28*H20</f>
        <v>62227.571904064134</v>
      </c>
      <c r="K20" s="41" t="str">
        <f t="shared" si="1"/>
        <v>יולי</v>
      </c>
      <c r="L20" s="42">
        <f t="shared" si="2"/>
        <v>43546</v>
      </c>
      <c r="M20" s="41" t="str">
        <f t="shared" si="3"/>
        <v>חופשה באילת</v>
      </c>
      <c r="N20" s="41" t="str">
        <f t="shared" si="4"/>
        <v>KD</v>
      </c>
      <c r="R20" s="53" t="s">
        <v>392</v>
      </c>
    </row>
    <row r="21" spans="1:21" ht="14.4" x14ac:dyDescent="0.3">
      <c r="A21" s="35">
        <v>1874</v>
      </c>
      <c r="B21" s="35" t="s">
        <v>28</v>
      </c>
      <c r="C21" s="35" t="s">
        <v>11</v>
      </c>
      <c r="D21" s="36">
        <v>43282</v>
      </c>
      <c r="E21" s="37">
        <v>71270</v>
      </c>
      <c r="F21" s="35">
        <v>13</v>
      </c>
      <c r="G21" s="38">
        <v>3.8999999999999998E-3</v>
      </c>
      <c r="H21" s="39">
        <v>142479.52031448073</v>
      </c>
      <c r="I21" s="40">
        <f t="shared" si="0"/>
        <v>219888.58987428818</v>
      </c>
      <c r="J21" s="40">
        <f>VLOOKUP(F21,'[3]נתונים נוספים'!$A$4:$D$9,VLOOKUP(countIf!C21,'[3]נתונים נוספים'!$F$4:$G$6,2,0),0)*countIf!$B$28*H21</f>
        <v>94962.600289601411</v>
      </c>
      <c r="K21" s="41" t="str">
        <f t="shared" si="1"/>
        <v>יולי</v>
      </c>
      <c r="L21" s="42">
        <f t="shared" si="2"/>
        <v>43537</v>
      </c>
      <c r="M21" s="41" t="str">
        <f t="shared" si="3"/>
        <v>חופשה בפריז</v>
      </c>
      <c r="N21" s="41" t="str">
        <f t="shared" si="4"/>
        <v>EL</v>
      </c>
    </row>
    <row r="22" spans="1:21" ht="14.4" x14ac:dyDescent="0.3">
      <c r="A22" s="35">
        <v>1875</v>
      </c>
      <c r="B22" s="35" t="s">
        <v>29</v>
      </c>
      <c r="C22" s="35" t="s">
        <v>11</v>
      </c>
      <c r="D22" s="36">
        <v>43497</v>
      </c>
      <c r="E22" s="37">
        <v>10129</v>
      </c>
      <c r="F22" s="35">
        <v>14</v>
      </c>
      <c r="G22" s="38">
        <v>1.1000000000000001E-3</v>
      </c>
      <c r="H22" s="39">
        <v>22812.44860458418</v>
      </c>
      <c r="I22" s="40">
        <f t="shared" si="0"/>
        <v>39275.440114469333</v>
      </c>
      <c r="J22" s="40">
        <f>VLOOKUP(F22,'[3]נתונים נוספים'!$A$4:$D$9,VLOOKUP(countIf!C22,'[3]נתונים נוספים'!$F$4:$G$6,2,0),0)*countIf!$B$28*H22</f>
        <v>10607.788601131644</v>
      </c>
      <c r="K22" s="41" t="str">
        <f t="shared" si="1"/>
        <v>פברואר</v>
      </c>
      <c r="L22" s="42">
        <f t="shared" si="2"/>
        <v>44621</v>
      </c>
      <c r="M22" s="41" t="str">
        <f t="shared" si="3"/>
        <v>חופשה באילת</v>
      </c>
      <c r="N22" s="41" t="str">
        <f t="shared" si="4"/>
        <v>KK</v>
      </c>
      <c r="R22" s="53" t="s">
        <v>141</v>
      </c>
    </row>
    <row r="23" spans="1:21" ht="14.4" x14ac:dyDescent="0.3">
      <c r="A23" s="35">
        <v>1876</v>
      </c>
      <c r="B23" s="35" t="s">
        <v>30</v>
      </c>
      <c r="C23" s="35" t="s">
        <v>19</v>
      </c>
      <c r="D23" s="36">
        <v>42752</v>
      </c>
      <c r="E23" s="37">
        <v>143689</v>
      </c>
      <c r="F23" s="35">
        <v>13</v>
      </c>
      <c r="G23" s="38">
        <v>2.8999999999999998E-3</v>
      </c>
      <c r="H23" s="39">
        <v>1900016.8003544933</v>
      </c>
      <c r="I23" s="40">
        <f t="shared" si="0"/>
        <v>5428826.7941737426</v>
      </c>
      <c r="J23" s="40">
        <f>VLOOKUP(F23,'[3]נתונים נוספים'!$A$4:$D$9,VLOOKUP(countIf!C23,'[3]נתונים נוספים'!$F$4:$G$6,2,0),0)*countIf!$B$28*H23</f>
        <v>1266361.1974362698</v>
      </c>
      <c r="K23" s="41" t="str">
        <f t="shared" si="1"/>
        <v>ינואר</v>
      </c>
      <c r="L23" s="42">
        <f t="shared" si="2"/>
        <v>43007</v>
      </c>
      <c r="M23" s="41" t="str">
        <f t="shared" si="3"/>
        <v>ללא מתנה</v>
      </c>
      <c r="N23" s="41" t="str">
        <f t="shared" si="4"/>
        <v>MC</v>
      </c>
    </row>
    <row r="24" spans="1:21" ht="14.4" x14ac:dyDescent="0.3">
      <c r="A24" s="35">
        <v>1877</v>
      </c>
      <c r="B24" s="35" t="s">
        <v>31</v>
      </c>
      <c r="C24" s="35" t="s">
        <v>19</v>
      </c>
      <c r="D24" s="36">
        <v>43140</v>
      </c>
      <c r="E24" s="37">
        <v>25719</v>
      </c>
      <c r="F24" s="35">
        <v>12</v>
      </c>
      <c r="G24" s="38">
        <v>5.7999999999999996E-3</v>
      </c>
      <c r="H24" s="39">
        <v>186489.11906743521</v>
      </c>
      <c r="I24" s="40">
        <f t="shared" si="0"/>
        <v>495496.72236821667</v>
      </c>
      <c r="J24" s="40">
        <f>VLOOKUP(F24,'[3]נתונים נוספים'!$A$4:$D$9,VLOOKUP(countIf!C24,'[3]נתונים נוספים'!$F$4:$G$6,2,0),0)*countIf!$B$28*H24</f>
        <v>132966.74189508133</v>
      </c>
      <c r="K24" s="41" t="str">
        <f t="shared" si="1"/>
        <v>פברואר</v>
      </c>
      <c r="L24" s="42">
        <f t="shared" si="2"/>
        <v>43394</v>
      </c>
      <c r="M24" s="41" t="str">
        <f t="shared" si="3"/>
        <v>ללא מתנה</v>
      </c>
      <c r="N24" s="41" t="str">
        <f t="shared" si="4"/>
        <v>FJ</v>
      </c>
    </row>
    <row r="25" spans="1:21" ht="14.4" x14ac:dyDescent="0.3">
      <c r="A25" s="35">
        <v>1878</v>
      </c>
      <c r="B25" s="35" t="s">
        <v>32</v>
      </c>
      <c r="C25" s="35" t="s">
        <v>9</v>
      </c>
      <c r="D25" s="36">
        <v>42629</v>
      </c>
      <c r="E25" s="37">
        <v>215746</v>
      </c>
      <c r="F25" s="35">
        <v>14</v>
      </c>
      <c r="G25" s="38">
        <v>8.0000000000000004E-4</v>
      </c>
      <c r="H25" s="39">
        <v>1094342.8807251898</v>
      </c>
      <c r="I25" s="40">
        <f t="shared" si="0"/>
        <v>2721471.4099838901</v>
      </c>
      <c r="J25" s="40">
        <f>VLOOKUP(F25,'[3]נתונים נוספים'!$A$4:$D$9,VLOOKUP(countIf!C25,'[3]נתונים נוספים'!$F$4:$G$6,2,0),0)*countIf!$B$28*H25</f>
        <v>542794.06883969426</v>
      </c>
      <c r="K25" s="41" t="str">
        <f t="shared" si="1"/>
        <v>ספטמבר</v>
      </c>
      <c r="L25" s="42">
        <f t="shared" si="2"/>
        <v>44636</v>
      </c>
      <c r="M25" s="41" t="str">
        <f t="shared" si="3"/>
        <v>סט סירים</v>
      </c>
      <c r="N25" s="41" t="str">
        <f t="shared" si="4"/>
        <v>AI</v>
      </c>
      <c r="Q25" s="41">
        <f>COUNTIF(M2:M26,$R$22)</f>
        <v>4</v>
      </c>
    </row>
    <row r="26" spans="1:21" ht="14.4" x14ac:dyDescent="0.3">
      <c r="A26" s="35">
        <v>1879</v>
      </c>
      <c r="B26" s="35" t="s">
        <v>33</v>
      </c>
      <c r="C26" s="35" t="s">
        <v>19</v>
      </c>
      <c r="D26" s="36">
        <v>40875</v>
      </c>
      <c r="E26" s="37">
        <v>131191</v>
      </c>
      <c r="F26" s="35">
        <v>10</v>
      </c>
      <c r="G26" s="38">
        <v>6.0000000000000001E-3</v>
      </c>
      <c r="H26" s="39">
        <v>203520.29998243746</v>
      </c>
      <c r="I26" s="40">
        <f>(H26-E26)*$B$28*(1-G26)</f>
        <v>222875.50496588278</v>
      </c>
      <c r="J26" s="40">
        <f>VLOOKUP(F26,'[3]נתונים נוספים'!$A$4:$D$9,VLOOKUP(countIf!C26,'[3]נתונים נוספים'!$F$4:$G$6,2,0),0)*countIf!$B$28*H26</f>
        <v>63091.292994555624</v>
      </c>
      <c r="K26" s="41" t="str">
        <f t="shared" si="1"/>
        <v>נובמבר</v>
      </c>
      <c r="L26" s="42">
        <f t="shared" si="2"/>
        <v>41130</v>
      </c>
      <c r="M26" s="41" t="str">
        <f t="shared" si="3"/>
        <v>ללא מתנה</v>
      </c>
      <c r="N26" s="41" t="str">
        <f t="shared" si="4"/>
        <v>GI</v>
      </c>
    </row>
    <row r="27" spans="1:21" ht="14.4" thickBot="1" x14ac:dyDescent="0.3"/>
    <row r="28" spans="1:21" ht="14.4" thickBot="1" x14ac:dyDescent="0.3">
      <c r="A28" s="43" t="s">
        <v>137</v>
      </c>
      <c r="B28" s="44">
        <v>3.1</v>
      </c>
    </row>
    <row r="31" spans="1:21" x14ac:dyDescent="0.25">
      <c r="A31" s="168"/>
      <c r="B31" s="52"/>
      <c r="C31" s="52"/>
      <c r="L31" s="46">
        <f>MIN(L2:L26)</f>
        <v>40688</v>
      </c>
      <c r="Q31" s="244"/>
      <c r="R31" s="253" t="s">
        <v>144</v>
      </c>
      <c r="S31" s="245"/>
      <c r="T31" s="245"/>
      <c r="U31" s="246"/>
    </row>
    <row r="32" spans="1:21" ht="14.4" x14ac:dyDescent="0.3">
      <c r="A32" s="168"/>
      <c r="B32" s="168"/>
      <c r="C32" s="168"/>
      <c r="L32" s="47" t="s">
        <v>9</v>
      </c>
      <c r="M32" s="35" t="s">
        <v>9</v>
      </c>
      <c r="Q32" s="247"/>
      <c r="R32" s="53" t="s">
        <v>234</v>
      </c>
      <c r="U32" s="248"/>
    </row>
    <row r="33" spans="1:21" ht="14.4" x14ac:dyDescent="0.3">
      <c r="A33" s="168"/>
      <c r="B33" s="168"/>
      <c r="C33" s="168"/>
      <c r="E33" s="53"/>
      <c r="L33" s="48">
        <v>55000</v>
      </c>
      <c r="M33" s="35" t="s">
        <v>11</v>
      </c>
      <c r="Q33" s="247"/>
      <c r="R33" s="53" t="s">
        <v>235</v>
      </c>
      <c r="S33" s="53" t="s">
        <v>236</v>
      </c>
      <c r="U33" s="248"/>
    </row>
    <row r="34" spans="1:21" x14ac:dyDescent="0.25">
      <c r="A34" s="168"/>
      <c r="B34" s="168"/>
      <c r="C34" s="168"/>
      <c r="L34" s="48">
        <v>2</v>
      </c>
      <c r="M34" s="49">
        <v>65000</v>
      </c>
      <c r="Q34" s="247"/>
      <c r="R34" s="53" t="s">
        <v>237</v>
      </c>
      <c r="S34" s="53" t="s">
        <v>238</v>
      </c>
      <c r="U34" s="248"/>
    </row>
    <row r="35" spans="1:21" x14ac:dyDescent="0.25">
      <c r="A35" s="168"/>
      <c r="B35" s="168"/>
      <c r="C35" s="168"/>
      <c r="L35" s="48">
        <v>1</v>
      </c>
      <c r="M35" s="49" t="s">
        <v>138</v>
      </c>
      <c r="Q35" s="249"/>
      <c r="R35" s="250" t="s">
        <v>239</v>
      </c>
      <c r="S35" s="250" t="s">
        <v>240</v>
      </c>
      <c r="T35" s="251"/>
      <c r="U35" s="252"/>
    </row>
    <row r="36" spans="1:21" x14ac:dyDescent="0.25">
      <c r="A36" s="168"/>
      <c r="B36" s="168"/>
      <c r="C36" s="168"/>
      <c r="L36" s="48">
        <v>2022</v>
      </c>
      <c r="M36" s="49" t="s">
        <v>139</v>
      </c>
    </row>
    <row r="37" spans="1:21" x14ac:dyDescent="0.25">
      <c r="A37" s="168"/>
      <c r="B37" s="168"/>
      <c r="C37" s="168"/>
      <c r="L37" s="48">
        <v>3</v>
      </c>
      <c r="M37" s="49">
        <v>2012</v>
      </c>
      <c r="Q37" s="41" t="s">
        <v>145</v>
      </c>
    </row>
    <row r="38" spans="1:21" x14ac:dyDescent="0.25">
      <c r="A38" s="168"/>
      <c r="B38" s="168"/>
      <c r="C38" s="168"/>
      <c r="L38" s="48">
        <v>8</v>
      </c>
      <c r="M38" s="49">
        <v>2016</v>
      </c>
    </row>
    <row r="39" spans="1:21" x14ac:dyDescent="0.25">
      <c r="A39" s="168"/>
      <c r="B39" s="168"/>
      <c r="C39" s="168"/>
      <c r="L39" s="48">
        <v>12</v>
      </c>
      <c r="M39" s="49" t="s">
        <v>140</v>
      </c>
      <c r="R39" s="243" t="s">
        <v>136</v>
      </c>
    </row>
    <row r="40" spans="1:21" x14ac:dyDescent="0.25">
      <c r="A40" s="168"/>
      <c r="B40" s="168"/>
      <c r="C40" s="168"/>
      <c r="L40" s="48">
        <v>14</v>
      </c>
      <c r="M40" s="49" t="s">
        <v>141</v>
      </c>
      <c r="R40" s="53" t="s">
        <v>141</v>
      </c>
    </row>
    <row r="41" spans="1:21" x14ac:dyDescent="0.25">
      <c r="A41" s="168"/>
      <c r="B41" s="169"/>
      <c r="C41" s="168"/>
      <c r="L41" s="48">
        <v>15</v>
      </c>
      <c r="M41" s="49" t="s">
        <v>142</v>
      </c>
    </row>
    <row r="42" spans="1:21" x14ac:dyDescent="0.25">
      <c r="M42" s="49" t="s">
        <v>143</v>
      </c>
    </row>
    <row r="44" spans="1:21" x14ac:dyDescent="0.25">
      <c r="M44" s="49" t="s">
        <v>141</v>
      </c>
    </row>
    <row r="46" spans="1:21" x14ac:dyDescent="0.25">
      <c r="M46" s="51"/>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C2D42-B727-473A-B410-D5E93F711113}">
  <dimension ref="A1:AB60"/>
  <sheetViews>
    <sheetView rightToLeft="1" topLeftCell="F19" zoomScale="85" zoomScaleNormal="85" workbookViewId="0">
      <selection activeCell="U48" sqref="T39:U48"/>
    </sheetView>
  </sheetViews>
  <sheetFormatPr defaultColWidth="8.69921875" defaultRowHeight="15.6" x14ac:dyDescent="0.3"/>
  <cols>
    <col min="1" max="1" width="11.09765625" style="98" customWidth="1"/>
    <col min="2" max="2" width="14.8984375" style="98" customWidth="1"/>
    <col min="3" max="3" width="10.3984375" style="98" customWidth="1"/>
    <col min="4" max="4" width="13.19921875" style="98" customWidth="1"/>
    <col min="5" max="5" width="13" style="98" customWidth="1"/>
    <col min="6" max="6" width="19" style="98" customWidth="1"/>
    <col min="7" max="7" width="8.69921875" style="84" customWidth="1"/>
    <col min="8" max="8" width="12.19921875" style="84" customWidth="1"/>
    <col min="9" max="9" width="11.19921875" style="84" bestFit="1" customWidth="1"/>
    <col min="10" max="10" width="9.3984375" style="84" bestFit="1" customWidth="1"/>
    <col min="11" max="11" width="13.59765625" style="84" customWidth="1"/>
    <col min="12" max="12" width="21.69921875" style="84" customWidth="1"/>
    <col min="13" max="13" width="13.09765625" style="84" customWidth="1"/>
    <col min="14" max="17" width="14.09765625" style="84" customWidth="1"/>
    <col min="18" max="18" width="8.69921875" style="84"/>
    <col min="19" max="19" width="16.8984375" style="84" bestFit="1" customWidth="1"/>
    <col min="20" max="20" width="13.296875" style="84" bestFit="1" customWidth="1"/>
    <col min="21" max="21" width="13.59765625" style="84" customWidth="1"/>
    <col min="22" max="22" width="12.09765625" style="84" customWidth="1"/>
    <col min="23" max="23" width="12.09765625" style="84" bestFit="1" customWidth="1"/>
    <col min="24" max="27" width="8.69921875" style="84"/>
    <col min="28" max="28" width="11.5" style="84" bestFit="1" customWidth="1"/>
    <col min="29" max="16384" width="8.69921875" style="84"/>
  </cols>
  <sheetData>
    <row r="1" spans="1:28" s="72" customFormat="1" ht="48" customHeight="1" x14ac:dyDescent="0.25">
      <c r="A1" s="295" t="s">
        <v>35</v>
      </c>
      <c r="B1" s="67" t="s">
        <v>36</v>
      </c>
      <c r="C1" s="295" t="s">
        <v>37</v>
      </c>
      <c r="D1" s="68" t="s">
        <v>38</v>
      </c>
      <c r="E1" s="294" t="s">
        <v>39</v>
      </c>
      <c r="F1" s="67" t="s">
        <v>40</v>
      </c>
      <c r="G1" s="68" t="s">
        <v>41</v>
      </c>
      <c r="H1" s="69" t="s">
        <v>42</v>
      </c>
      <c r="I1" s="293" t="s">
        <v>43</v>
      </c>
      <c r="J1" s="70" t="s">
        <v>123</v>
      </c>
      <c r="K1" s="70" t="s">
        <v>122</v>
      </c>
      <c r="L1" s="70" t="s">
        <v>124</v>
      </c>
      <c r="M1" s="293" t="s">
        <v>131</v>
      </c>
      <c r="N1" s="70" t="s">
        <v>125</v>
      </c>
      <c r="O1" s="70" t="s">
        <v>126</v>
      </c>
      <c r="P1" s="70" t="s">
        <v>127</v>
      </c>
      <c r="Q1" s="71" t="s">
        <v>128</v>
      </c>
      <c r="R1" s="104"/>
      <c r="S1" s="375"/>
      <c r="T1" s="375"/>
      <c r="U1" s="131"/>
      <c r="V1" s="104"/>
      <c r="Y1" s="73"/>
      <c r="Z1" s="73"/>
    </row>
    <row r="2" spans="1:28" x14ac:dyDescent="0.3">
      <c r="A2" s="74" t="s">
        <v>44</v>
      </c>
      <c r="B2" s="75">
        <v>44201</v>
      </c>
      <c r="C2" s="74" t="s">
        <v>8</v>
      </c>
      <c r="D2" s="76" t="s">
        <v>45</v>
      </c>
      <c r="E2" s="76" t="s">
        <v>46</v>
      </c>
      <c r="F2" s="76" t="s">
        <v>47</v>
      </c>
      <c r="G2" s="77" t="s">
        <v>48</v>
      </c>
      <c r="H2" s="78">
        <v>0.03</v>
      </c>
      <c r="I2" s="79">
        <v>102356</v>
      </c>
      <c r="J2" s="79">
        <f ca="1">(YEAR(TODAY())-YEAR(B2))*VLOOKUP(F2,'[2]נתונים נוספים'!$A$3:$C$9,3,FALSE)+VLOOKUP(F2,'[2]נתונים נוספים'!$A$3:$C$9,2,FALSE)</f>
        <v>23500</v>
      </c>
      <c r="K2" s="80" t="str">
        <f t="shared" ref="K2:K28" si="0">IF(MONTH(B2)&lt;=$Y$2,$Z$2,IF(MONTH(B2)&lt;=$Y$3,$Z$3,IF(MONTH(B2)&lt;=$Y$4,$Z$4,$Z$5)))</f>
        <v>רבעון 1</v>
      </c>
      <c r="L2" s="80" t="str">
        <f>VLOOKUP(K2,'[2]נתונים נוספים'!$A$14:$M$17,VLOOKUP(E2,'[2]נתונים נוספים'!$Q$8:$R$19,2,FALSE),FALSE)</f>
        <v>מוצר חינם</v>
      </c>
      <c r="M2" s="81">
        <f t="shared" ref="M2:M27" si="1">IF(K2=$U$19,DATE(YEAR(B2)+$V$19,MONTH(B2),DAY(B2)),IF(OR(YEAR(B2)=$U$20,YEAR(B2)=$U$21),DATE(YEAR(B2)+$V$20,MONTH(B2),DAY(B2)+$W$20),DATE(YEAR($U$22)+$V$22,MONTH($U$22),DAY($U$22))))</f>
        <v>46397</v>
      </c>
      <c r="N2" s="80">
        <f t="shared" ref="N2:N28" si="2">IF(WEEKDAY(M2)=$U$23,$V$23,WEEKDAY(M2))</f>
        <v>1</v>
      </c>
      <c r="O2" s="80">
        <f t="shared" ref="O2:O28" si="3">IF(AND(I2&lt;=$V$34,OR(E2=$V$35,E2=$U$35)),$W$34,IF(AND(I2&gt;$V$34,OR(E2=$V$35,E2=$U$35)),$W$35,IF(AND(MONTH(B2)&lt;=$V$36,OR(E2=$U$36,E2=$U$37)),$W$36,$W$38)))</f>
        <v>0</v>
      </c>
      <c r="P2" s="82">
        <f t="shared" ref="P2:P28" ca="1" si="4">(TODAY()-B2)/365*(I2-O2*12)</f>
        <v>322211.07945205481</v>
      </c>
      <c r="Q2" s="83">
        <f t="shared" ref="Q2:Q28" ca="1" si="5">P2*(1-H2)</f>
        <v>312544.74706849316</v>
      </c>
      <c r="R2" s="181"/>
      <c r="S2" s="107"/>
      <c r="T2" s="107"/>
      <c r="U2" s="105"/>
      <c r="V2" s="105"/>
      <c r="Y2" s="85">
        <v>3</v>
      </c>
      <c r="Z2" s="85" t="s">
        <v>219</v>
      </c>
    </row>
    <row r="3" spans="1:28" x14ac:dyDescent="0.3">
      <c r="A3" s="86" t="s">
        <v>49</v>
      </c>
      <c r="B3" s="87">
        <v>44207</v>
      </c>
      <c r="C3" s="86" t="s">
        <v>10</v>
      </c>
      <c r="D3" s="88" t="s">
        <v>50</v>
      </c>
      <c r="E3" s="88" t="s">
        <v>51</v>
      </c>
      <c r="F3" s="88" t="s">
        <v>52</v>
      </c>
      <c r="G3" s="89" t="s">
        <v>53</v>
      </c>
      <c r="H3" s="90">
        <v>0.01</v>
      </c>
      <c r="I3" s="79">
        <v>256968</v>
      </c>
      <c r="J3" s="79">
        <f ca="1">(YEAR(TODAY())-YEAR(B3))*VLOOKUP(F3,'[2]נתונים נוספים'!$A$3:$C$9,3,FALSE)+VLOOKUP(F3,'[2]נתונים נוספים'!$A$3:$C$9,2,FALSE)</f>
        <v>25900</v>
      </c>
      <c r="K3" s="80" t="str">
        <f t="shared" si="0"/>
        <v>רבעון 1</v>
      </c>
      <c r="L3" s="80" t="str">
        <f>VLOOKUP(K3,'[2]נתונים נוספים'!$A$14:$M$17,VLOOKUP(E3,'[2]נתונים נוספים'!$Q$8:$R$19,2,FALSE),FALSE)</f>
        <v>זיכוי ברכישה הבאה</v>
      </c>
      <c r="M3" s="81">
        <f t="shared" si="1"/>
        <v>46403</v>
      </c>
      <c r="N3" s="80" t="str">
        <f t="shared" si="2"/>
        <v>ייקבע מועד אחר</v>
      </c>
      <c r="O3" s="80">
        <f t="shared" si="3"/>
        <v>0</v>
      </c>
      <c r="P3" s="82">
        <f t="shared" ca="1" si="4"/>
        <v>804697.05205479451</v>
      </c>
      <c r="Q3" s="83">
        <f t="shared" ca="1" si="5"/>
        <v>796650.08153424656</v>
      </c>
      <c r="R3" s="105"/>
      <c r="S3" s="105"/>
      <c r="T3" s="105"/>
      <c r="U3" s="105"/>
      <c r="V3" s="105"/>
      <c r="Y3" s="85">
        <v>6</v>
      </c>
      <c r="Z3" s="85" t="s">
        <v>129</v>
      </c>
    </row>
    <row r="4" spans="1:28" x14ac:dyDescent="0.3">
      <c r="A4" s="74" t="s">
        <v>54</v>
      </c>
      <c r="B4" s="75">
        <v>43113</v>
      </c>
      <c r="C4" s="74" t="s">
        <v>12</v>
      </c>
      <c r="D4" s="76" t="s">
        <v>55</v>
      </c>
      <c r="E4" s="76" t="s">
        <v>56</v>
      </c>
      <c r="F4" s="76" t="s">
        <v>57</v>
      </c>
      <c r="G4" s="77" t="s">
        <v>48</v>
      </c>
      <c r="H4" s="78">
        <v>0.05</v>
      </c>
      <c r="I4" s="79">
        <v>110875</v>
      </c>
      <c r="J4" s="79">
        <f ca="1">(YEAR(TODAY())-YEAR(B4))*VLOOKUP(F4,'[2]נתונים נוספים'!$A$3:$C$9,3,FALSE)+VLOOKUP(F4,'[2]נתונים נוספים'!$A$3:$C$9,2,FALSE)</f>
        <v>17500</v>
      </c>
      <c r="K4" s="80" t="str">
        <f t="shared" si="0"/>
        <v>רבעון 1</v>
      </c>
      <c r="L4" s="80" t="str">
        <f>VLOOKUP(K4,'[2]נתונים נוספים'!$A$14:$M$17,VLOOKUP(E4,'[2]נתונים נוספים'!$Q$8:$R$19,2,FALSE),FALSE)</f>
        <v>אין הטבה</v>
      </c>
      <c r="M4" s="81">
        <f t="shared" si="1"/>
        <v>45347</v>
      </c>
      <c r="N4" s="80">
        <f t="shared" si="2"/>
        <v>1</v>
      </c>
      <c r="O4" s="80">
        <f t="shared" si="3"/>
        <v>0</v>
      </c>
      <c r="P4" s="82">
        <f t="shared" ca="1" si="4"/>
        <v>679527.05479452061</v>
      </c>
      <c r="Q4" s="83">
        <f t="shared" ca="1" si="5"/>
        <v>645550.70205479453</v>
      </c>
      <c r="R4" s="105"/>
      <c r="S4" s="105"/>
      <c r="T4" s="105"/>
      <c r="U4" s="105"/>
      <c r="V4" s="105"/>
      <c r="Y4" s="85">
        <v>9</v>
      </c>
      <c r="Z4" s="85" t="s">
        <v>220</v>
      </c>
    </row>
    <row r="5" spans="1:28" x14ac:dyDescent="0.3">
      <c r="A5" s="86" t="s">
        <v>58</v>
      </c>
      <c r="B5" s="87">
        <v>43125</v>
      </c>
      <c r="C5" s="86" t="s">
        <v>13</v>
      </c>
      <c r="D5" s="88" t="s">
        <v>59</v>
      </c>
      <c r="E5" s="88" t="s">
        <v>60</v>
      </c>
      <c r="F5" s="88" t="s">
        <v>61</v>
      </c>
      <c r="G5" s="89" t="s">
        <v>53</v>
      </c>
      <c r="H5" s="90">
        <v>0.01</v>
      </c>
      <c r="I5" s="79">
        <v>236000</v>
      </c>
      <c r="J5" s="79">
        <f ca="1">(YEAR(TODAY())-YEAR(B5))*VLOOKUP(F5,'[2]נתונים נוספים'!$A$3:$C$9,3,FALSE)+VLOOKUP(F5,'[2]נתונים נוספים'!$A$3:$C$9,2,FALSE)</f>
        <v>14000</v>
      </c>
      <c r="K5" s="80" t="str">
        <f t="shared" si="0"/>
        <v>רבעון 1</v>
      </c>
      <c r="L5" s="80" t="str">
        <f>VLOOKUP(K5,'[2]נתונים נוספים'!$A$14:$M$17,VLOOKUP(E5,'[2]נתונים נוספים'!$Q$8:$R$19,2,FALSE),FALSE)</f>
        <v>הנחה על הרכישה הבאה</v>
      </c>
      <c r="M5" s="81">
        <f t="shared" si="1"/>
        <v>45347</v>
      </c>
      <c r="N5" s="80">
        <f t="shared" si="2"/>
        <v>1</v>
      </c>
      <c r="O5" s="80">
        <f t="shared" si="3"/>
        <v>0</v>
      </c>
      <c r="P5" s="82">
        <f t="shared" ca="1" si="4"/>
        <v>1438630.1369863013</v>
      </c>
      <c r="Q5" s="83">
        <f t="shared" ca="1" si="5"/>
        <v>1424243.8356164382</v>
      </c>
      <c r="R5" s="105"/>
      <c r="S5" s="105"/>
      <c r="T5" s="105"/>
      <c r="U5" s="105"/>
      <c r="V5" s="105"/>
      <c r="Y5" s="85"/>
      <c r="Z5" s="85" t="s">
        <v>221</v>
      </c>
    </row>
    <row r="6" spans="1:28" x14ac:dyDescent="0.3">
      <c r="A6" s="74" t="s">
        <v>62</v>
      </c>
      <c r="B6" s="75">
        <v>43857</v>
      </c>
      <c r="C6" s="74" t="s">
        <v>14</v>
      </c>
      <c r="D6" s="76" t="s">
        <v>63</v>
      </c>
      <c r="E6" s="76" t="s">
        <v>64</v>
      </c>
      <c r="F6" s="76" t="s">
        <v>65</v>
      </c>
      <c r="G6" s="77" t="s">
        <v>48</v>
      </c>
      <c r="H6" s="78">
        <v>7.0000000000000007E-2</v>
      </c>
      <c r="I6" s="79">
        <v>100000</v>
      </c>
      <c r="J6" s="79">
        <f ca="1">(YEAR(TODAY())-YEAR(B6))*VLOOKUP(F6,'[2]נתונים נוספים'!$A$3:$C$9,3,FALSE)+VLOOKUP(F6,'[2]נתונים נוספים'!$A$3:$C$9,2,FALSE)</f>
        <v>12200</v>
      </c>
      <c r="K6" s="80" t="str">
        <f t="shared" si="0"/>
        <v>רבעון 1</v>
      </c>
      <c r="L6" s="80" t="str">
        <f>VLOOKUP(K6,'[2]נתונים נוספים'!$A$14:$M$17,VLOOKUP(E6,'[2]נתונים נוספים'!$Q$8:$R$19,2,FALSE),FALSE)</f>
        <v>זיכוי ברכישה הבאה</v>
      </c>
      <c r="M6" s="81">
        <f t="shared" si="1"/>
        <v>46054</v>
      </c>
      <c r="N6" s="80">
        <f t="shared" si="2"/>
        <v>1</v>
      </c>
      <c r="O6" s="80">
        <f t="shared" si="3"/>
        <v>0</v>
      </c>
      <c r="P6" s="82">
        <f t="shared" ca="1" si="4"/>
        <v>409041.09589041094</v>
      </c>
      <c r="Q6" s="83">
        <f t="shared" ca="1" si="5"/>
        <v>380408.21917808213</v>
      </c>
      <c r="R6" s="105"/>
      <c r="S6" s="105"/>
      <c r="T6" s="105"/>
      <c r="U6" s="105"/>
      <c r="V6" s="105"/>
    </row>
    <row r="7" spans="1:28" x14ac:dyDescent="0.3">
      <c r="A7" s="86" t="s">
        <v>66</v>
      </c>
      <c r="B7" s="87">
        <v>43865</v>
      </c>
      <c r="C7" s="86" t="s">
        <v>13</v>
      </c>
      <c r="D7" s="88" t="s">
        <v>67</v>
      </c>
      <c r="E7" s="88" t="s">
        <v>68</v>
      </c>
      <c r="F7" s="88" t="s">
        <v>69</v>
      </c>
      <c r="G7" s="89" t="s">
        <v>48</v>
      </c>
      <c r="H7" s="90">
        <v>7.0000000000000007E-2</v>
      </c>
      <c r="I7" s="79">
        <v>280756</v>
      </c>
      <c r="J7" s="79">
        <f ca="1">(YEAR(TODAY())-YEAR(B7))*VLOOKUP(F7,'[2]נתונים נוספים'!$A$3:$C$9,3,FALSE)+VLOOKUP(F7,'[2]נתונים נוספים'!$A$3:$C$9,2,FALSE)</f>
        <v>16600</v>
      </c>
      <c r="K7" s="80" t="str">
        <f t="shared" si="0"/>
        <v>רבעון 1</v>
      </c>
      <c r="L7" s="80" t="str">
        <f>VLOOKUP(K7,'[2]נתונים נוספים'!$A$14:$M$17,VLOOKUP(E7,'[2]נתונים נוספים'!$Q$8:$R$19,2,FALSE),FALSE)</f>
        <v>מוצר חינם</v>
      </c>
      <c r="M7" s="81">
        <f t="shared" si="1"/>
        <v>46062</v>
      </c>
      <c r="N7" s="80">
        <f t="shared" si="2"/>
        <v>2</v>
      </c>
      <c r="O7" s="80">
        <f t="shared" si="3"/>
        <v>0</v>
      </c>
      <c r="P7" s="82">
        <f t="shared" ca="1" si="4"/>
        <v>1142253.8630136985</v>
      </c>
      <c r="Q7" s="83">
        <f t="shared" ca="1" si="5"/>
        <v>1062296.0926027396</v>
      </c>
      <c r="S7" s="105"/>
      <c r="T7" s="105"/>
      <c r="U7" s="105"/>
      <c r="V7" s="105"/>
    </row>
    <row r="8" spans="1:28" x14ac:dyDescent="0.3">
      <c r="A8" s="74" t="s">
        <v>70</v>
      </c>
      <c r="B8" s="75">
        <v>43509</v>
      </c>
      <c r="C8" s="74" t="s">
        <v>15</v>
      </c>
      <c r="D8" s="76" t="s">
        <v>71</v>
      </c>
      <c r="E8" s="76" t="s">
        <v>60</v>
      </c>
      <c r="F8" s="76" t="s">
        <v>72</v>
      </c>
      <c r="G8" s="77" t="s">
        <v>48</v>
      </c>
      <c r="H8" s="78">
        <v>0.1</v>
      </c>
      <c r="I8" s="79">
        <v>456890</v>
      </c>
      <c r="J8" s="79">
        <f ca="1">(YEAR(TODAY())-YEAR(B8))*VLOOKUP(F8,'[2]נתונים נוספים'!$A$3:$C$9,3,FALSE)+VLOOKUP(F8,'[2]נתונים נוספים'!$A$3:$C$9,2,FALSE)</f>
        <v>12750</v>
      </c>
      <c r="K8" s="80" t="str">
        <f t="shared" si="0"/>
        <v>רבעון 1</v>
      </c>
      <c r="L8" s="80" t="str">
        <f>VLOOKUP(K8,'[2]נתונים נוספים'!$A$14:$M$17,VLOOKUP(E8,'[2]נתונים נוספים'!$Q$8:$R$19,2,FALSE),FALSE)</f>
        <v>הנחה על הרכישה הבאה</v>
      </c>
      <c r="M8" s="81">
        <f t="shared" si="1"/>
        <v>45347</v>
      </c>
      <c r="N8" s="80">
        <f t="shared" si="2"/>
        <v>1</v>
      </c>
      <c r="O8" s="80">
        <f t="shared" si="3"/>
        <v>0</v>
      </c>
      <c r="P8" s="82">
        <f t="shared" ca="1" si="4"/>
        <v>2304478.0547945206</v>
      </c>
      <c r="Q8" s="83">
        <f t="shared" ca="1" si="5"/>
        <v>2074030.2493150686</v>
      </c>
      <c r="S8" s="105"/>
      <c r="T8" s="105"/>
      <c r="U8" s="105"/>
      <c r="V8" s="105"/>
    </row>
    <row r="9" spans="1:28" x14ac:dyDescent="0.3">
      <c r="A9" s="86" t="s">
        <v>73</v>
      </c>
      <c r="B9" s="87">
        <v>43552</v>
      </c>
      <c r="C9" s="86" t="s">
        <v>16</v>
      </c>
      <c r="D9" s="88" t="s">
        <v>74</v>
      </c>
      <c r="E9" s="88" t="s">
        <v>75</v>
      </c>
      <c r="F9" s="88" t="s">
        <v>47</v>
      </c>
      <c r="G9" s="91" t="s">
        <v>76</v>
      </c>
      <c r="H9" s="90">
        <v>0.15</v>
      </c>
      <c r="I9" s="79">
        <v>98653</v>
      </c>
      <c r="J9" s="79">
        <f ca="1">(YEAR(TODAY())-YEAR(B9))*VLOOKUP(F9,'[2]נתונים נוספים'!$A$3:$C$9,3,FALSE)+VLOOKUP(F9,'[2]נתונים נוספים'!$A$3:$C$9,2,FALSE)</f>
        <v>24500</v>
      </c>
      <c r="K9" s="80" t="str">
        <f t="shared" si="0"/>
        <v>רבעון 1</v>
      </c>
      <c r="L9" s="80" t="str">
        <f>VLOOKUP(K9,'[2]נתונים נוספים'!$A$14:$M$17,VLOOKUP(E9,'[2]נתונים נוספים'!$Q$8:$R$19,2,FALSE),FALSE)</f>
        <v>זיכוי ברכישה הבאה</v>
      </c>
      <c r="M9" s="81">
        <f t="shared" si="1"/>
        <v>45347</v>
      </c>
      <c r="N9" s="80">
        <f t="shared" si="2"/>
        <v>1</v>
      </c>
      <c r="O9" s="80">
        <f t="shared" si="3"/>
        <v>0</v>
      </c>
      <c r="P9" s="82">
        <f t="shared" ca="1" si="4"/>
        <v>485967.38082191779</v>
      </c>
      <c r="Q9" s="83">
        <f t="shared" ca="1" si="5"/>
        <v>413072.2736986301</v>
      </c>
      <c r="S9" s="105"/>
      <c r="T9" s="105"/>
      <c r="U9" s="105"/>
      <c r="V9" s="105"/>
    </row>
    <row r="10" spans="1:28" x14ac:dyDescent="0.3">
      <c r="A10" s="74" t="s">
        <v>77</v>
      </c>
      <c r="B10" s="75">
        <v>43558</v>
      </c>
      <c r="C10" s="74" t="s">
        <v>17</v>
      </c>
      <c r="D10" s="76" t="s">
        <v>78</v>
      </c>
      <c r="E10" s="76" t="s">
        <v>79</v>
      </c>
      <c r="F10" s="76" t="s">
        <v>52</v>
      </c>
      <c r="G10" s="77" t="s">
        <v>53</v>
      </c>
      <c r="H10" s="90">
        <v>0.01</v>
      </c>
      <c r="I10" s="79">
        <v>75000</v>
      </c>
      <c r="J10" s="79">
        <f ca="1">(YEAR(TODAY())-YEAR(B10))*VLOOKUP(F10,'[2]נתונים נוספים'!$A$3:$C$9,3,FALSE)+VLOOKUP(F10,'[2]נתונים נוספים'!$A$3:$C$9,2,FALSE)</f>
        <v>26500</v>
      </c>
      <c r="K10" s="80" t="str">
        <f t="shared" si="0"/>
        <v>רבעון 2</v>
      </c>
      <c r="L10" s="80" t="str">
        <f>VLOOKUP(K10,'[2]נתונים נוספים'!$A$14:$M$17,VLOOKUP(E10,'[2]נתונים נוספים'!$Q$8:$R$19,2,FALSE),FALSE)</f>
        <v>מוצר חינם</v>
      </c>
      <c r="M10" s="81">
        <f t="shared" si="1"/>
        <v>45385</v>
      </c>
      <c r="N10" s="80">
        <f t="shared" si="2"/>
        <v>4</v>
      </c>
      <c r="O10" s="80">
        <f t="shared" si="3"/>
        <v>0</v>
      </c>
      <c r="P10" s="82">
        <f t="shared" ca="1" si="4"/>
        <v>368219.17808219179</v>
      </c>
      <c r="Q10" s="83">
        <f t="shared" ca="1" si="5"/>
        <v>364536.98630136985</v>
      </c>
      <c r="S10" s="105"/>
      <c r="T10" s="105"/>
      <c r="U10" s="105"/>
      <c r="V10" s="105"/>
    </row>
    <row r="11" spans="1:28" x14ac:dyDescent="0.3">
      <c r="A11" s="86" t="s">
        <v>80</v>
      </c>
      <c r="B11" s="87">
        <v>43207</v>
      </c>
      <c r="C11" s="86" t="s">
        <v>18</v>
      </c>
      <c r="D11" s="88" t="s">
        <v>81</v>
      </c>
      <c r="E11" s="88" t="s">
        <v>82</v>
      </c>
      <c r="F11" s="88" t="s">
        <v>57</v>
      </c>
      <c r="G11" s="91" t="s">
        <v>76</v>
      </c>
      <c r="H11" s="90">
        <v>0.12</v>
      </c>
      <c r="I11" s="79">
        <v>120332</v>
      </c>
      <c r="J11" s="79">
        <f ca="1">(YEAR(TODAY())-YEAR(B11))*VLOOKUP(F11,'[2]נתונים נוספים'!$A$3:$C$9,3,FALSE)+VLOOKUP(F11,'[2]נתונים נוספים'!$A$3:$C$9,2,FALSE)</f>
        <v>17500</v>
      </c>
      <c r="K11" s="80" t="str">
        <f t="shared" si="0"/>
        <v>רבעון 2</v>
      </c>
      <c r="L11" s="80" t="str">
        <f>VLOOKUP(K11,'[2]נתונים נוספים'!$A$14:$M$17,VLOOKUP(E11,'[2]נתונים נוספים'!$Q$8:$R$19,2,FALSE),FALSE)</f>
        <v>זיכוי ברכישה הבאה</v>
      </c>
      <c r="M11" s="81">
        <f t="shared" si="1"/>
        <v>45033</v>
      </c>
      <c r="N11" s="80">
        <f t="shared" si="2"/>
        <v>2</v>
      </c>
      <c r="O11" s="80">
        <f t="shared" si="3"/>
        <v>0</v>
      </c>
      <c r="P11" s="82">
        <f t="shared" ca="1" si="4"/>
        <v>706497.19452054787</v>
      </c>
      <c r="Q11" s="83">
        <f t="shared" ca="1" si="5"/>
        <v>621717.53117808211</v>
      </c>
    </row>
    <row r="12" spans="1:28" x14ac:dyDescent="0.3">
      <c r="A12" s="74" t="s">
        <v>83</v>
      </c>
      <c r="B12" s="75">
        <v>43213</v>
      </c>
      <c r="C12" s="74" t="s">
        <v>20</v>
      </c>
      <c r="D12" s="76" t="s">
        <v>84</v>
      </c>
      <c r="E12" s="76" t="s">
        <v>64</v>
      </c>
      <c r="F12" s="76" t="s">
        <v>61</v>
      </c>
      <c r="G12" s="77" t="s">
        <v>48</v>
      </c>
      <c r="H12" s="78">
        <v>0.08</v>
      </c>
      <c r="I12" s="79">
        <v>140000</v>
      </c>
      <c r="J12" s="79">
        <f ca="1">(YEAR(TODAY())-YEAR(B12))*VLOOKUP(F12,'[2]נתונים נוספים'!$A$3:$C$9,3,FALSE)+VLOOKUP(F12,'[2]נתונים נוספים'!$A$3:$C$9,2,FALSE)</f>
        <v>14000</v>
      </c>
      <c r="K12" s="80" t="str">
        <f t="shared" si="0"/>
        <v>רבעון 2</v>
      </c>
      <c r="L12" s="80" t="str">
        <f>VLOOKUP(K12,'[2]נתונים נוספים'!$A$14:$M$17,VLOOKUP(E12,'[2]נתונים נוספים'!$Q$8:$R$19,2,FALSE),FALSE)</f>
        <v>אין הטבה</v>
      </c>
      <c r="M12" s="81">
        <f t="shared" si="1"/>
        <v>45039</v>
      </c>
      <c r="N12" s="80">
        <f t="shared" si="2"/>
        <v>1</v>
      </c>
      <c r="O12" s="80">
        <f t="shared" si="3"/>
        <v>0</v>
      </c>
      <c r="P12" s="82">
        <f t="shared" ca="1" si="4"/>
        <v>819671.23287671234</v>
      </c>
      <c r="Q12" s="83">
        <f t="shared" ca="1" si="5"/>
        <v>754097.53424657544</v>
      </c>
    </row>
    <row r="13" spans="1:28" x14ac:dyDescent="0.3">
      <c r="A13" s="86" t="s">
        <v>85</v>
      </c>
      <c r="B13" s="87">
        <v>43216</v>
      </c>
      <c r="C13" s="86" t="s">
        <v>21</v>
      </c>
      <c r="D13" s="88" t="s">
        <v>86</v>
      </c>
      <c r="E13" s="88" t="s">
        <v>64</v>
      </c>
      <c r="F13" s="88" t="s">
        <v>65</v>
      </c>
      <c r="G13" s="89" t="s">
        <v>48</v>
      </c>
      <c r="H13" s="90">
        <v>0.06</v>
      </c>
      <c r="I13" s="79">
        <v>875875</v>
      </c>
      <c r="J13" s="79">
        <f ca="1">(YEAR(TODAY())-YEAR(B13))*VLOOKUP(F13,'[2]נתונים נוספים'!$A$3:$C$9,3,FALSE)+VLOOKUP(F13,'[2]נתונים נוספים'!$A$3:$C$9,2,FALSE)</f>
        <v>13300</v>
      </c>
      <c r="K13" s="80" t="str">
        <f t="shared" si="0"/>
        <v>רבעון 2</v>
      </c>
      <c r="L13" s="80" t="str">
        <f>VLOOKUP(K13,'[2]נתונים נוספים'!$A$14:$M$17,VLOOKUP(E13,'[2]נתונים נוספים'!$Q$8:$R$19,2,FALSE),FALSE)</f>
        <v>אין הטבה</v>
      </c>
      <c r="M13" s="81">
        <f t="shared" si="1"/>
        <v>45042</v>
      </c>
      <c r="N13" s="80">
        <f t="shared" si="2"/>
        <v>4</v>
      </c>
      <c r="O13" s="80">
        <f t="shared" si="3"/>
        <v>0</v>
      </c>
      <c r="P13" s="82">
        <f t="shared" ca="1" si="4"/>
        <v>5120869.1780821914</v>
      </c>
      <c r="Q13" s="83">
        <f t="shared" ca="1" si="5"/>
        <v>4813617.0273972601</v>
      </c>
    </row>
    <row r="14" spans="1:28" x14ac:dyDescent="0.3">
      <c r="A14" s="74" t="s">
        <v>87</v>
      </c>
      <c r="B14" s="75">
        <v>43221</v>
      </c>
      <c r="C14" s="74" t="s">
        <v>22</v>
      </c>
      <c r="D14" s="76" t="s">
        <v>88</v>
      </c>
      <c r="E14" s="76" t="s">
        <v>60</v>
      </c>
      <c r="F14" s="76" t="s">
        <v>69</v>
      </c>
      <c r="G14" s="77" t="s">
        <v>53</v>
      </c>
      <c r="H14" s="90">
        <v>0.01</v>
      </c>
      <c r="I14" s="79">
        <v>200000</v>
      </c>
      <c r="J14" s="79">
        <f ca="1">(YEAR(TODAY())-YEAR(B14))*VLOOKUP(F14,'[2]נתונים נוספים'!$A$3:$C$9,3,FALSE)+VLOOKUP(F14,'[2]נתונים נוספים'!$A$3:$C$9,2,FALSE)</f>
        <v>17400</v>
      </c>
      <c r="K14" s="80" t="str">
        <f t="shared" si="0"/>
        <v>רבעון 2</v>
      </c>
      <c r="L14" s="80" t="str">
        <f>VLOOKUP(K14,'[2]נתונים נוספים'!$A$14:$M$17,VLOOKUP(E14,'[2]נתונים נוספים'!$Q$8:$R$19,2,FALSE),FALSE)</f>
        <v>מוצר חינם</v>
      </c>
      <c r="M14" s="81">
        <f t="shared" si="1"/>
        <v>45047</v>
      </c>
      <c r="N14" s="80">
        <f t="shared" si="2"/>
        <v>2</v>
      </c>
      <c r="O14" s="80">
        <f t="shared" si="3"/>
        <v>0</v>
      </c>
      <c r="P14" s="82">
        <f t="shared" ca="1" si="4"/>
        <v>1166575.3424657534</v>
      </c>
      <c r="Q14" s="83">
        <f t="shared" ca="1" si="5"/>
        <v>1154909.5890410959</v>
      </c>
      <c r="Z14" s="105"/>
      <c r="AA14" s="105"/>
      <c r="AB14" s="105"/>
    </row>
    <row r="15" spans="1:28" x14ac:dyDescent="0.3">
      <c r="A15" s="86" t="s">
        <v>89</v>
      </c>
      <c r="B15" s="87">
        <v>43975</v>
      </c>
      <c r="C15" s="86" t="s">
        <v>23</v>
      </c>
      <c r="D15" s="88" t="s">
        <v>90</v>
      </c>
      <c r="E15" s="88" t="s">
        <v>46</v>
      </c>
      <c r="F15" s="88" t="s">
        <v>72</v>
      </c>
      <c r="G15" s="89" t="s">
        <v>48</v>
      </c>
      <c r="H15" s="90">
        <v>0.05</v>
      </c>
      <c r="I15" s="79">
        <v>360250</v>
      </c>
      <c r="J15" s="79">
        <f ca="1">(YEAR(TODAY())-YEAR(B15))*VLOOKUP(F15,'[2]נתונים נוספים'!$A$3:$C$9,3,FALSE)+VLOOKUP(F15,'[2]נתונים נוספים'!$A$3:$C$9,2,FALSE)</f>
        <v>12600</v>
      </c>
      <c r="K15" s="80" t="str">
        <f t="shared" si="0"/>
        <v>רבעון 2</v>
      </c>
      <c r="L15" s="80" t="str">
        <f>VLOOKUP(K15,'[2]נתונים נוספים'!$A$14:$M$17,VLOOKUP(E15,'[2]נתונים נוספים'!$Q$8:$R$19,2,FALSE),FALSE)</f>
        <v>הנחה על הרכישה הבאה</v>
      </c>
      <c r="M15" s="81">
        <f t="shared" si="1"/>
        <v>45801</v>
      </c>
      <c r="N15" s="80" t="str">
        <f t="shared" si="2"/>
        <v>ייקבע מועד אחר</v>
      </c>
      <c r="O15" s="80">
        <f t="shared" si="3"/>
        <v>0</v>
      </c>
      <c r="P15" s="82">
        <f t="shared" ca="1" si="4"/>
        <v>1357106.1643835616</v>
      </c>
      <c r="Q15" s="83">
        <f t="shared" ca="1" si="5"/>
        <v>1289250.8561643835</v>
      </c>
      <c r="Z15" s="338"/>
      <c r="AA15" s="339"/>
      <c r="AB15" s="339"/>
    </row>
    <row r="16" spans="1:28" x14ac:dyDescent="0.3">
      <c r="A16" s="74" t="s">
        <v>91</v>
      </c>
      <c r="B16" s="75">
        <v>43990</v>
      </c>
      <c r="C16" s="74" t="s">
        <v>24</v>
      </c>
      <c r="D16" s="76" t="s">
        <v>92</v>
      </c>
      <c r="E16" s="76" t="s">
        <v>82</v>
      </c>
      <c r="F16" s="76" t="s">
        <v>47</v>
      </c>
      <c r="G16" s="77" t="s">
        <v>48</v>
      </c>
      <c r="H16" s="78">
        <v>0.05</v>
      </c>
      <c r="I16" s="79">
        <v>422365</v>
      </c>
      <c r="J16" s="79">
        <f ca="1">(YEAR(TODAY())-YEAR(B16))*VLOOKUP(F16,'[2]נתונים נוספים'!$A$3:$C$9,3,FALSE)+VLOOKUP(F16,'[2]נתונים נוספים'!$A$3:$C$9,2,FALSE)</f>
        <v>24000</v>
      </c>
      <c r="K16" s="80" t="str">
        <f t="shared" si="0"/>
        <v>רבעון 2</v>
      </c>
      <c r="L16" s="80" t="str">
        <f>VLOOKUP(K16,'[2]נתונים נוספים'!$A$14:$M$17,VLOOKUP(E16,'[2]נתונים נוספים'!$Q$8:$R$19,2,FALSE),FALSE)</f>
        <v>זיכוי ברכישה הבאה</v>
      </c>
      <c r="M16" s="81">
        <f t="shared" si="1"/>
        <v>45816</v>
      </c>
      <c r="N16" s="80">
        <f t="shared" si="2"/>
        <v>1</v>
      </c>
      <c r="O16" s="80">
        <f t="shared" si="3"/>
        <v>0</v>
      </c>
      <c r="P16" s="82">
        <f t="shared" ca="1" si="4"/>
        <v>1573743.5616438356</v>
      </c>
      <c r="Q16" s="83">
        <f t="shared" ca="1" si="5"/>
        <v>1495056.3835616438</v>
      </c>
      <c r="Z16" s="105"/>
      <c r="AA16" s="105"/>
      <c r="AB16" s="105"/>
    </row>
    <row r="17" spans="1:28" x14ac:dyDescent="0.3">
      <c r="A17" s="86" t="s">
        <v>93</v>
      </c>
      <c r="B17" s="87">
        <v>43997</v>
      </c>
      <c r="C17" s="86" t="s">
        <v>25</v>
      </c>
      <c r="D17" s="88" t="s">
        <v>94</v>
      </c>
      <c r="E17" s="88" t="s">
        <v>75</v>
      </c>
      <c r="F17" s="88" t="s">
        <v>52</v>
      </c>
      <c r="G17" s="89" t="s">
        <v>48</v>
      </c>
      <c r="H17" s="90">
        <v>7.0000000000000007E-2</v>
      </c>
      <c r="I17" s="79">
        <v>123456</v>
      </c>
      <c r="J17" s="79">
        <f ca="1">(YEAR(TODAY())-YEAR(B17))*VLOOKUP(F17,'[2]נתונים נוספים'!$A$3:$C$9,3,FALSE)+VLOOKUP(F17,'[2]נתונים נוספים'!$A$3:$C$9,2,FALSE)</f>
        <v>26200</v>
      </c>
      <c r="K17" s="80" t="str">
        <f t="shared" si="0"/>
        <v>רבעון 2</v>
      </c>
      <c r="L17" s="80" t="str">
        <f>VLOOKUP(K17,'[2]נתונים נוספים'!$A$14:$M$17,VLOOKUP(E17,'[2]נתונים נוספים'!$Q$8:$R$19,2,FALSE),FALSE)</f>
        <v>הנחה על הרכישה הבאה</v>
      </c>
      <c r="M17" s="81">
        <f t="shared" si="1"/>
        <v>45823</v>
      </c>
      <c r="N17" s="80">
        <f t="shared" si="2"/>
        <v>1</v>
      </c>
      <c r="O17" s="80">
        <f t="shared" si="3"/>
        <v>0</v>
      </c>
      <c r="P17" s="82">
        <f t="shared" ca="1" si="4"/>
        <v>457632.78904109588</v>
      </c>
      <c r="Q17" s="83">
        <f t="shared" ca="1" si="5"/>
        <v>425598.49380821915</v>
      </c>
      <c r="Z17" s="105"/>
      <c r="AA17" s="105"/>
      <c r="AB17" s="105"/>
    </row>
    <row r="18" spans="1:28" x14ac:dyDescent="0.3">
      <c r="A18" s="74" t="s">
        <v>95</v>
      </c>
      <c r="B18" s="75">
        <v>43705</v>
      </c>
      <c r="C18" s="74" t="s">
        <v>20</v>
      </c>
      <c r="D18" s="76" t="s">
        <v>96</v>
      </c>
      <c r="E18" s="76" t="s">
        <v>75</v>
      </c>
      <c r="F18" s="76" t="s">
        <v>57</v>
      </c>
      <c r="G18" s="77" t="s">
        <v>48</v>
      </c>
      <c r="H18" s="78">
        <v>0.08</v>
      </c>
      <c r="I18" s="79">
        <v>187654</v>
      </c>
      <c r="J18" s="79">
        <f ca="1">(YEAR(TODAY())-YEAR(B18))*VLOOKUP(F18,'[2]נתונים נוספים'!$A$3:$C$9,3,FALSE)+VLOOKUP(F18,'[2]נתונים נוספים'!$A$3:$C$9,2,FALSE)</f>
        <v>16750</v>
      </c>
      <c r="K18" s="80" t="str">
        <f t="shared" si="0"/>
        <v>רבעון 3</v>
      </c>
      <c r="L18" s="80" t="str">
        <f>VLOOKUP(K18,'[2]נתונים נוספים'!$A$14:$M$17,VLOOKUP(E18,'[2]נתונים נוספים'!$Q$8:$R$19,2,FALSE),FALSE)</f>
        <v>מוצר חינם</v>
      </c>
      <c r="M18" s="81">
        <f t="shared" si="1"/>
        <v>45347</v>
      </c>
      <c r="N18" s="80">
        <f t="shared" si="2"/>
        <v>1</v>
      </c>
      <c r="O18" s="80">
        <f t="shared" si="3"/>
        <v>0</v>
      </c>
      <c r="P18" s="82">
        <f t="shared" ca="1" si="4"/>
        <v>845728.30136986298</v>
      </c>
      <c r="Q18" s="83">
        <f t="shared" ca="1" si="5"/>
        <v>778070.03726027394</v>
      </c>
      <c r="Z18" s="105"/>
      <c r="AA18" s="105"/>
      <c r="AB18" s="105"/>
    </row>
    <row r="19" spans="1:28" x14ac:dyDescent="0.3">
      <c r="A19" s="86" t="s">
        <v>97</v>
      </c>
      <c r="B19" s="87">
        <v>44438</v>
      </c>
      <c r="C19" s="86" t="s">
        <v>26</v>
      </c>
      <c r="D19" s="88" t="s">
        <v>98</v>
      </c>
      <c r="E19" s="88" t="s">
        <v>56</v>
      </c>
      <c r="F19" s="88" t="s">
        <v>61</v>
      </c>
      <c r="G19" s="89" t="s">
        <v>48</v>
      </c>
      <c r="H19" s="90">
        <v>0.05</v>
      </c>
      <c r="I19" s="79">
        <v>440000</v>
      </c>
      <c r="J19" s="79">
        <f ca="1">(YEAR(TODAY())-YEAR(B19))*VLOOKUP(F19,'[2]נתונים נוספים'!$A$3:$C$9,3,FALSE)+VLOOKUP(F19,'[2]נתונים נוספים'!$A$3:$C$9,2,FALSE)</f>
        <v>13250</v>
      </c>
      <c r="K19" s="80" t="str">
        <f t="shared" si="0"/>
        <v>רבעון 3</v>
      </c>
      <c r="L19" s="80" t="str">
        <f>VLOOKUP(K19,'[2]נתונים נוספים'!$A$14:$M$17,VLOOKUP(E19,'[2]נתונים נוספים'!$Q$8:$R$19,2,FALSE),FALSE)</f>
        <v>מוצר חינם</v>
      </c>
      <c r="M19" s="81">
        <f t="shared" si="1"/>
        <v>46634</v>
      </c>
      <c r="N19" s="80" t="str">
        <f t="shared" si="2"/>
        <v>ייקבע מועד אחר</v>
      </c>
      <c r="O19" s="80">
        <f t="shared" si="3"/>
        <v>0</v>
      </c>
      <c r="P19" s="82">
        <f t="shared" ca="1" si="4"/>
        <v>1099397.2602739725</v>
      </c>
      <c r="Q19" s="83">
        <f t="shared" ca="1" si="5"/>
        <v>1044427.3972602738</v>
      </c>
      <c r="U19" s="104" t="s">
        <v>129</v>
      </c>
      <c r="V19" s="104">
        <v>5</v>
      </c>
      <c r="W19" s="105"/>
      <c r="Z19" s="105"/>
      <c r="AA19" s="105"/>
      <c r="AB19" s="105"/>
    </row>
    <row r="20" spans="1:28" x14ac:dyDescent="0.3">
      <c r="A20" s="74" t="s">
        <v>99</v>
      </c>
      <c r="B20" s="75">
        <v>43710</v>
      </c>
      <c r="C20" s="74" t="s">
        <v>27</v>
      </c>
      <c r="D20" s="76" t="s">
        <v>100</v>
      </c>
      <c r="E20" s="76" t="s">
        <v>101</v>
      </c>
      <c r="F20" s="76" t="s">
        <v>69</v>
      </c>
      <c r="G20" s="92" t="s">
        <v>76</v>
      </c>
      <c r="H20" s="78">
        <v>0.12</v>
      </c>
      <c r="I20" s="79">
        <v>365125</v>
      </c>
      <c r="J20" s="79">
        <f ca="1">(YEAR(TODAY())-YEAR(B20))*VLOOKUP(F20,'[2]נתונים נוספים'!$A$3:$C$9,3,FALSE)+VLOOKUP(F20,'[2]נתונים נוספים'!$A$3:$C$9,2,FALSE)</f>
        <v>17000</v>
      </c>
      <c r="K20" s="80" t="str">
        <f t="shared" si="0"/>
        <v>רבעון 3</v>
      </c>
      <c r="L20" s="80" t="str">
        <f>VLOOKUP(K20,'[2]נתונים נוספים'!$A$14:$M$17,VLOOKUP(E20,'[2]נתונים נוספים'!$Q$8:$R$19,2,FALSE),FALSE)</f>
        <v>מוצר חינם</v>
      </c>
      <c r="M20" s="81">
        <f t="shared" si="1"/>
        <v>45347</v>
      </c>
      <c r="N20" s="80">
        <f t="shared" si="2"/>
        <v>1</v>
      </c>
      <c r="O20" s="80">
        <f t="shared" si="3"/>
        <v>0</v>
      </c>
      <c r="P20" s="82">
        <f t="shared" ca="1" si="4"/>
        <v>1640561.6438356165</v>
      </c>
      <c r="Q20" s="83">
        <f t="shared" ca="1" si="5"/>
        <v>1443694.2465753425</v>
      </c>
      <c r="U20" s="105">
        <v>2020</v>
      </c>
      <c r="V20" s="104">
        <v>6</v>
      </c>
      <c r="W20" s="105">
        <v>5</v>
      </c>
      <c r="Z20" s="105"/>
      <c r="AA20" s="105"/>
      <c r="AB20" s="105"/>
    </row>
    <row r="21" spans="1:28" x14ac:dyDescent="0.3">
      <c r="A21" s="86" t="s">
        <v>102</v>
      </c>
      <c r="B21" s="87">
        <v>43722</v>
      </c>
      <c r="C21" s="86" t="s">
        <v>28</v>
      </c>
      <c r="D21" s="88" t="s">
        <v>103</v>
      </c>
      <c r="E21" s="88" t="s">
        <v>75</v>
      </c>
      <c r="F21" s="88" t="s">
        <v>72</v>
      </c>
      <c r="G21" s="89" t="s">
        <v>48</v>
      </c>
      <c r="H21" s="90">
        <v>7.0000000000000007E-2</v>
      </c>
      <c r="I21" s="79">
        <v>321987</v>
      </c>
      <c r="J21" s="79">
        <f ca="1">(YEAR(TODAY())-YEAR(B21))*VLOOKUP(F21,'[2]נתונים נוספים'!$A$3:$C$9,3,FALSE)+VLOOKUP(F21,'[2]נתונים נוספים'!$A$3:$C$9,2,FALSE)</f>
        <v>12750</v>
      </c>
      <c r="K21" s="80" t="str">
        <f t="shared" si="0"/>
        <v>רבעון 3</v>
      </c>
      <c r="L21" s="80" t="str">
        <f>VLOOKUP(K21,'[2]נתונים נוספים'!$A$14:$M$17,VLOOKUP(E21,'[2]נתונים נוספים'!$Q$8:$R$19,2,FALSE),FALSE)</f>
        <v>מוצר חינם</v>
      </c>
      <c r="M21" s="81">
        <f t="shared" si="1"/>
        <v>45347</v>
      </c>
      <c r="N21" s="80">
        <f t="shared" si="2"/>
        <v>1</v>
      </c>
      <c r="O21" s="80">
        <f t="shared" si="3"/>
        <v>0</v>
      </c>
      <c r="P21" s="82">
        <f t="shared" ca="1" si="4"/>
        <v>1436150.2356164383</v>
      </c>
      <c r="Q21" s="83">
        <f t="shared" ca="1" si="5"/>
        <v>1335619.7191232876</v>
      </c>
      <c r="U21" s="105">
        <v>2021</v>
      </c>
      <c r="V21" s="105"/>
      <c r="W21" s="105"/>
      <c r="Z21" s="105"/>
      <c r="AA21" s="105"/>
      <c r="AB21" s="105"/>
    </row>
    <row r="22" spans="1:28" x14ac:dyDescent="0.3">
      <c r="A22" s="74" t="s">
        <v>104</v>
      </c>
      <c r="B22" s="75">
        <v>43365</v>
      </c>
      <c r="C22" s="74" t="s">
        <v>29</v>
      </c>
      <c r="D22" s="76" t="s">
        <v>105</v>
      </c>
      <c r="E22" s="76" t="s">
        <v>60</v>
      </c>
      <c r="F22" s="76" t="s">
        <v>47</v>
      </c>
      <c r="G22" s="77" t="s">
        <v>48</v>
      </c>
      <c r="H22" s="78">
        <v>0.08</v>
      </c>
      <c r="I22" s="79">
        <v>133455</v>
      </c>
      <c r="J22" s="79">
        <f ca="1">(YEAR(TODAY())-YEAR(B22))*VLOOKUP(F22,'[2]נתונים נוספים'!$A$3:$C$9,3,FALSE)+VLOOKUP(F22,'[2]נתונים נוספים'!$A$3:$C$9,2,FALSE)</f>
        <v>25000</v>
      </c>
      <c r="K22" s="80" t="str">
        <f t="shared" si="0"/>
        <v>רבעון 3</v>
      </c>
      <c r="L22" s="80" t="str">
        <f>VLOOKUP(K22,'[2]נתונים נוספים'!$A$14:$M$17,VLOOKUP(E22,'[2]נתונים נוספים'!$Q$8:$R$19,2,FALSE),FALSE)</f>
        <v>הנחה על הרכישה הבאה</v>
      </c>
      <c r="M22" s="81">
        <f t="shared" si="1"/>
        <v>45347</v>
      </c>
      <c r="N22" s="80">
        <f t="shared" si="2"/>
        <v>1</v>
      </c>
      <c r="O22" s="80">
        <f t="shared" si="3"/>
        <v>0</v>
      </c>
      <c r="P22" s="82">
        <f t="shared" ca="1" si="4"/>
        <v>725775.82191780827</v>
      </c>
      <c r="Q22" s="83">
        <f t="shared" ca="1" si="5"/>
        <v>667713.75616438361</v>
      </c>
      <c r="U22" s="121">
        <v>44982</v>
      </c>
      <c r="V22" s="104">
        <v>1</v>
      </c>
      <c r="W22" s="105"/>
      <c r="Z22" s="105"/>
      <c r="AA22" s="105"/>
      <c r="AB22" s="105"/>
    </row>
    <row r="23" spans="1:28" x14ac:dyDescent="0.3">
      <c r="A23" s="86" t="s">
        <v>106</v>
      </c>
      <c r="B23" s="87">
        <v>43389</v>
      </c>
      <c r="C23" s="86" t="s">
        <v>30</v>
      </c>
      <c r="D23" s="88" t="s">
        <v>107</v>
      </c>
      <c r="E23" s="88" t="s">
        <v>108</v>
      </c>
      <c r="F23" s="88" t="s">
        <v>52</v>
      </c>
      <c r="G23" s="89" t="s">
        <v>48</v>
      </c>
      <c r="H23" s="90">
        <v>7.0000000000000007E-2</v>
      </c>
      <c r="I23" s="79">
        <v>170000</v>
      </c>
      <c r="J23" s="79">
        <f ca="1">(YEAR(TODAY())-YEAR(B23))*VLOOKUP(F23,'[2]נתונים נוספים'!$A$3:$C$9,3,FALSE)+VLOOKUP(F23,'[2]נתונים נוספים'!$A$3:$C$9,2,FALSE)</f>
        <v>26800</v>
      </c>
      <c r="K23" s="80" t="str">
        <f t="shared" si="0"/>
        <v>רבעון 4</v>
      </c>
      <c r="L23" s="80" t="str">
        <f>VLOOKUP(K23,'[2]נתונים נוספים'!$A$14:$M$17,VLOOKUP(E23,'[2]נתונים נוספים'!$Q$8:$R$19,2,FALSE),FALSE)</f>
        <v>זיכוי ברכישה הבאה</v>
      </c>
      <c r="M23" s="81">
        <f t="shared" si="1"/>
        <v>45347</v>
      </c>
      <c r="N23" s="80">
        <f t="shared" si="2"/>
        <v>1</v>
      </c>
      <c r="O23" s="80">
        <f t="shared" si="3"/>
        <v>0</v>
      </c>
      <c r="P23" s="82">
        <f t="shared" ca="1" si="4"/>
        <v>913342.46575342468</v>
      </c>
      <c r="Q23" s="83">
        <f t="shared" ca="1" si="5"/>
        <v>849408.49315068487</v>
      </c>
      <c r="U23" s="105">
        <v>7</v>
      </c>
      <c r="V23" s="105" t="s">
        <v>130</v>
      </c>
      <c r="W23" s="105"/>
      <c r="Z23" s="105"/>
      <c r="AA23" s="105"/>
      <c r="AB23" s="105"/>
    </row>
    <row r="24" spans="1:28" x14ac:dyDescent="0.3">
      <c r="A24" s="74" t="s">
        <v>109</v>
      </c>
      <c r="B24" s="75">
        <v>43405</v>
      </c>
      <c r="C24" s="74" t="s">
        <v>31</v>
      </c>
      <c r="D24" s="76" t="s">
        <v>110</v>
      </c>
      <c r="E24" s="88" t="s">
        <v>68</v>
      </c>
      <c r="F24" s="76" t="s">
        <v>57</v>
      </c>
      <c r="G24" s="77" t="s">
        <v>48</v>
      </c>
      <c r="H24" s="78">
        <v>0.05</v>
      </c>
      <c r="I24" s="79">
        <v>258000</v>
      </c>
      <c r="J24" s="79">
        <f ca="1">(YEAR(TODAY())-YEAR(B24))*VLOOKUP(F24,'[2]נתונים נוספים'!$A$3:$C$9,3,FALSE)+VLOOKUP(F24,'[2]נתונים נוספים'!$A$3:$C$9,2,FALSE)</f>
        <v>17500</v>
      </c>
      <c r="K24" s="80" t="str">
        <f t="shared" si="0"/>
        <v>רבעון 4</v>
      </c>
      <c r="L24" s="80" t="str">
        <f>VLOOKUP(K24,'[2]נתונים נוספים'!$A$14:$M$17,VLOOKUP(E24,'[2]נתונים נוספים'!$Q$8:$R$19,2,FALSE),FALSE)</f>
        <v>מוצר חינם</v>
      </c>
      <c r="M24" s="81">
        <f t="shared" si="1"/>
        <v>45347</v>
      </c>
      <c r="N24" s="80">
        <f t="shared" si="2"/>
        <v>1</v>
      </c>
      <c r="O24" s="80">
        <f t="shared" si="3"/>
        <v>0</v>
      </c>
      <c r="P24" s="82">
        <f t="shared" ca="1" si="4"/>
        <v>1374821.9178082193</v>
      </c>
      <c r="Q24" s="83">
        <f t="shared" ca="1" si="5"/>
        <v>1306080.8219178084</v>
      </c>
      <c r="Z24" s="105"/>
      <c r="AA24" s="105"/>
      <c r="AB24" s="105"/>
    </row>
    <row r="25" spans="1:28" x14ac:dyDescent="0.3">
      <c r="A25" s="86" t="s">
        <v>111</v>
      </c>
      <c r="B25" s="87">
        <v>43416</v>
      </c>
      <c r="C25" s="86" t="s">
        <v>32</v>
      </c>
      <c r="D25" s="88" t="s">
        <v>112</v>
      </c>
      <c r="E25" s="88" t="s">
        <v>113</v>
      </c>
      <c r="F25" s="88" t="s">
        <v>61</v>
      </c>
      <c r="G25" s="89" t="s">
        <v>53</v>
      </c>
      <c r="H25" s="90">
        <v>0.01</v>
      </c>
      <c r="I25" s="79">
        <v>145685</v>
      </c>
      <c r="J25" s="79">
        <f ca="1">(YEAR(TODAY())-YEAR(B25))*VLOOKUP(F25,'[2]נתונים נוספים'!$A$3:$C$9,3,FALSE)+VLOOKUP(F25,'[2]נתונים נוספים'!$A$3:$C$9,2,FALSE)</f>
        <v>14000</v>
      </c>
      <c r="K25" s="80" t="str">
        <f t="shared" si="0"/>
        <v>רבעון 4</v>
      </c>
      <c r="L25" s="80" t="str">
        <f>VLOOKUP(K25,'[2]נתונים נוספים'!$A$14:$M$17,VLOOKUP(E25,'[2]נתונים נוספים'!$Q$8:$R$19,2,FALSE),FALSE)</f>
        <v>מוצר חינם</v>
      </c>
      <c r="M25" s="81">
        <f t="shared" si="1"/>
        <v>45347</v>
      </c>
      <c r="N25" s="80">
        <f t="shared" si="2"/>
        <v>1</v>
      </c>
      <c r="O25" s="80">
        <f t="shared" si="3"/>
        <v>0</v>
      </c>
      <c r="P25" s="82">
        <f t="shared" ca="1" si="4"/>
        <v>771930.93150684936</v>
      </c>
      <c r="Q25" s="83">
        <f t="shared" ca="1" si="5"/>
        <v>764211.62219178083</v>
      </c>
      <c r="S25" s="105"/>
      <c r="T25" s="105"/>
      <c r="U25" s="105"/>
      <c r="V25" s="105"/>
      <c r="W25" s="105"/>
      <c r="X25" s="105"/>
      <c r="Y25" s="105"/>
      <c r="Z25" s="105"/>
      <c r="AA25" s="105"/>
      <c r="AB25" s="105"/>
    </row>
    <row r="26" spans="1:28" x14ac:dyDescent="0.3">
      <c r="A26" s="74" t="s">
        <v>114</v>
      </c>
      <c r="B26" s="75">
        <v>43423</v>
      </c>
      <c r="C26" s="74" t="s">
        <v>33</v>
      </c>
      <c r="D26" s="76" t="s">
        <v>115</v>
      </c>
      <c r="E26" s="76" t="s">
        <v>56</v>
      </c>
      <c r="F26" s="76" t="s">
        <v>65</v>
      </c>
      <c r="G26" s="77" t="s">
        <v>53</v>
      </c>
      <c r="H26" s="90">
        <v>0.01</v>
      </c>
      <c r="I26" s="79">
        <v>36000</v>
      </c>
      <c r="J26" s="79">
        <f ca="1">(YEAR(TODAY())-YEAR(B26))*VLOOKUP(F26,'[2]נתונים נוספים'!$A$3:$C$9,3,FALSE)+VLOOKUP(F26,'[2]נתונים נוספים'!$A$3:$C$9,2,FALSE)</f>
        <v>13300</v>
      </c>
      <c r="K26" s="80" t="str">
        <f t="shared" si="0"/>
        <v>רבעון 4</v>
      </c>
      <c r="L26" s="80" t="str">
        <f>VLOOKUP(K26,'[2]נתונים נוספים'!$A$14:$M$17,VLOOKUP(E26,'[2]נתונים נוספים'!$Q$8:$R$19,2,FALSE),FALSE)</f>
        <v>זיכוי ברכישה הבאה</v>
      </c>
      <c r="M26" s="81">
        <f t="shared" si="1"/>
        <v>45347</v>
      </c>
      <c r="N26" s="80">
        <f t="shared" si="2"/>
        <v>1</v>
      </c>
      <c r="O26" s="80">
        <f t="shared" si="3"/>
        <v>0</v>
      </c>
      <c r="P26" s="82">
        <f t="shared" ca="1" si="4"/>
        <v>190060.27397260276</v>
      </c>
      <c r="Q26" s="83">
        <f t="shared" ca="1" si="5"/>
        <v>188159.67123287675</v>
      </c>
      <c r="S26" s="105"/>
      <c r="T26" s="105"/>
      <c r="U26" s="111"/>
      <c r="V26" s="112"/>
      <c r="W26" s="112"/>
      <c r="X26" s="105"/>
      <c r="Y26" s="105"/>
      <c r="Z26" s="105"/>
      <c r="AA26" s="105"/>
      <c r="AB26" s="105"/>
    </row>
    <row r="27" spans="1:28" x14ac:dyDescent="0.3">
      <c r="A27" s="86" t="s">
        <v>116</v>
      </c>
      <c r="B27" s="87">
        <v>43426</v>
      </c>
      <c r="C27" s="86" t="s">
        <v>117</v>
      </c>
      <c r="D27" s="88" t="s">
        <v>118</v>
      </c>
      <c r="E27" s="88" t="s">
        <v>79</v>
      </c>
      <c r="F27" s="88" t="s">
        <v>69</v>
      </c>
      <c r="G27" s="91" t="s">
        <v>76</v>
      </c>
      <c r="H27" s="90">
        <v>0.2</v>
      </c>
      <c r="I27" s="79">
        <v>77000</v>
      </c>
      <c r="J27" s="79">
        <f ca="1">(YEAR(TODAY())-YEAR(B27))*VLOOKUP(F27,'[2]נתונים נוספים'!$A$3:$C$9,3,FALSE)+VLOOKUP(F27,'[2]נתונים נוספים'!$A$3:$C$9,2,FALSE)</f>
        <v>17400</v>
      </c>
      <c r="K27" s="80" t="str">
        <f t="shared" si="0"/>
        <v>רבעון 4</v>
      </c>
      <c r="L27" s="80" t="str">
        <f>VLOOKUP(K27,'[2]נתונים נוספים'!$A$14:$M$17,VLOOKUP(E27,'[2]נתונים נוספים'!$Q$8:$R$19,2,FALSE),FALSE)</f>
        <v>אין הטבה</v>
      </c>
      <c r="M27" s="81">
        <f t="shared" si="1"/>
        <v>45347</v>
      </c>
      <c r="N27" s="80">
        <f t="shared" si="2"/>
        <v>1</v>
      </c>
      <c r="O27" s="80">
        <f t="shared" si="3"/>
        <v>0</v>
      </c>
      <c r="P27" s="82">
        <f t="shared" ca="1" si="4"/>
        <v>405884.9315068493</v>
      </c>
      <c r="Q27" s="83">
        <f t="shared" ca="1" si="5"/>
        <v>324707.94520547945</v>
      </c>
      <c r="S27" s="105"/>
      <c r="T27" s="105"/>
      <c r="U27" s="116"/>
      <c r="V27" s="105"/>
      <c r="W27" s="105"/>
      <c r="X27" s="105"/>
      <c r="Y27" s="105"/>
      <c r="Z27" s="110"/>
      <c r="AA27" s="110"/>
      <c r="AB27" s="105"/>
    </row>
    <row r="28" spans="1:28" x14ac:dyDescent="0.3">
      <c r="A28" s="93" t="s">
        <v>119</v>
      </c>
      <c r="B28" s="94">
        <v>44525</v>
      </c>
      <c r="C28" s="93" t="s">
        <v>120</v>
      </c>
      <c r="D28" s="95" t="s">
        <v>121</v>
      </c>
      <c r="E28" s="95" t="s">
        <v>101</v>
      </c>
      <c r="F28" s="95" t="s">
        <v>72</v>
      </c>
      <c r="G28" s="96" t="s">
        <v>48</v>
      </c>
      <c r="H28" s="97">
        <v>0.05</v>
      </c>
      <c r="I28" s="79">
        <v>280000</v>
      </c>
      <c r="J28" s="79">
        <f ca="1">(YEAR(TODAY())-YEAR(B28))*VLOOKUP(F28,'[2]נתונים נוספים'!$A$3:$C$9,3,FALSE)+VLOOKUP(F28,'[2]נתונים נוספים'!$A$3:$C$9,2,FALSE)</f>
        <v>12450</v>
      </c>
      <c r="K28" s="80" t="str">
        <f t="shared" si="0"/>
        <v>רבעון 4</v>
      </c>
      <c r="L28" s="80" t="str">
        <f>VLOOKUP(K28,'[2]נתונים נוספים'!$A$14:$M$17,VLOOKUP(E28,'[2]נתונים נוספים'!$Q$8:$R$19,2,FALSE),FALSE)</f>
        <v>אין הטבה</v>
      </c>
      <c r="M28" s="81">
        <f>IF(K28=$U$19,DATE(YEAR(B28)+$V$19,MONTH(B28),DAY(B28)),IF(OR(YEAR(B28)=$U$20,YEAR(B28)=$U$21),DATE(YEAR(B28)+$V$20,MONTH(B28),DAY(B28)+$W$20),"X"))</f>
        <v>46721</v>
      </c>
      <c r="N28" s="80">
        <f t="shared" si="2"/>
        <v>3</v>
      </c>
      <c r="O28" s="80">
        <f t="shared" si="3"/>
        <v>0</v>
      </c>
      <c r="P28" s="82">
        <f t="shared" ca="1" si="4"/>
        <v>632876.71232876717</v>
      </c>
      <c r="Q28" s="83">
        <f t="shared" ca="1" si="5"/>
        <v>601232.87671232875</v>
      </c>
      <c r="S28" s="105"/>
      <c r="T28" s="105"/>
      <c r="U28" s="122"/>
      <c r="V28" s="105"/>
      <c r="W28" s="105"/>
      <c r="X28" s="105"/>
      <c r="Y28" s="105"/>
      <c r="Z28" s="114"/>
      <c r="AA28" s="114"/>
      <c r="AB28" s="105"/>
    </row>
    <row r="29" spans="1:28" x14ac:dyDescent="0.3">
      <c r="S29" s="105"/>
      <c r="T29" s="105"/>
      <c r="U29" s="122"/>
      <c r="V29" s="105"/>
      <c r="W29" s="105"/>
      <c r="X29" s="105"/>
      <c r="Y29" s="105"/>
      <c r="Z29" s="120"/>
      <c r="AA29" s="120"/>
      <c r="AB29" s="105"/>
    </row>
    <row r="30" spans="1:28" ht="31.2" x14ac:dyDescent="0.3">
      <c r="L30" s="107"/>
      <c r="M30" s="105"/>
      <c r="N30" s="107"/>
      <c r="O30" s="105"/>
      <c r="P30" s="105"/>
      <c r="Q30" s="105"/>
      <c r="S30" s="105"/>
      <c r="T30" s="105"/>
      <c r="U30" s="294" t="s">
        <v>39</v>
      </c>
      <c r="V30" s="293" t="s">
        <v>43</v>
      </c>
      <c r="W30" s="293" t="s">
        <v>131</v>
      </c>
      <c r="X30" s="105"/>
      <c r="Y30" s="105"/>
      <c r="Z30" s="114"/>
      <c r="AA30" s="114"/>
      <c r="AB30" s="105"/>
    </row>
    <row r="31" spans="1:28" x14ac:dyDescent="0.3">
      <c r="O31" s="105"/>
      <c r="P31" s="110"/>
      <c r="Q31" s="110"/>
      <c r="R31" s="105"/>
      <c r="S31" s="105"/>
      <c r="T31" s="105"/>
      <c r="U31" s="105" t="s">
        <v>46</v>
      </c>
      <c r="V31" s="105" t="s">
        <v>393</v>
      </c>
      <c r="W31" s="105"/>
      <c r="X31" s="105"/>
      <c r="Y31" s="105"/>
      <c r="Z31" s="120"/>
      <c r="AA31" s="120"/>
      <c r="AB31" s="105"/>
    </row>
    <row r="32" spans="1:28" ht="17.399999999999999" x14ac:dyDescent="0.45">
      <c r="F32" s="382"/>
      <c r="G32" s="382"/>
      <c r="H32" s="382"/>
      <c r="I32" s="382"/>
      <c r="J32" s="382"/>
      <c r="K32" s="382"/>
      <c r="L32" s="382"/>
      <c r="M32" s="382"/>
      <c r="N32" s="108"/>
      <c r="O32" s="105"/>
      <c r="P32" s="114"/>
      <c r="Q32" s="114"/>
      <c r="R32" s="105"/>
      <c r="S32" s="105"/>
      <c r="T32" s="105"/>
      <c r="U32" s="105" t="s">
        <v>51</v>
      </c>
      <c r="V32" s="105" t="s">
        <v>393</v>
      </c>
      <c r="W32" s="105"/>
      <c r="X32" s="105"/>
      <c r="Y32" s="105"/>
      <c r="Z32" s="120"/>
      <c r="AA32" s="120"/>
      <c r="AB32" s="105"/>
    </row>
    <row r="33" spans="1:28" x14ac:dyDescent="0.3">
      <c r="G33" s="98"/>
      <c r="H33" s="98"/>
      <c r="I33" s="98"/>
      <c r="J33" s="98"/>
      <c r="K33" s="98"/>
      <c r="L33" s="98"/>
      <c r="M33" s="98"/>
      <c r="N33" s="98"/>
      <c r="O33" s="106"/>
      <c r="P33" s="120"/>
      <c r="Q33" s="120"/>
      <c r="R33" s="105"/>
      <c r="S33" s="105"/>
      <c r="T33" s="105"/>
      <c r="U33" s="105" t="s">
        <v>75</v>
      </c>
      <c r="V33" s="105" t="s">
        <v>393</v>
      </c>
      <c r="W33" s="105"/>
      <c r="X33" s="105"/>
      <c r="Y33" s="105"/>
      <c r="Z33" s="114"/>
      <c r="AA33" s="114"/>
      <c r="AB33" s="105"/>
    </row>
    <row r="34" spans="1:28" x14ac:dyDescent="0.3">
      <c r="A34" s="109"/>
      <c r="B34" s="106"/>
      <c r="C34" s="106"/>
      <c r="D34" s="106"/>
      <c r="E34" s="106"/>
      <c r="F34" s="106"/>
      <c r="G34" s="106"/>
      <c r="H34" s="106"/>
      <c r="I34" s="106"/>
      <c r="J34" s="106"/>
      <c r="K34" s="106"/>
      <c r="L34" s="106"/>
      <c r="M34" s="106"/>
      <c r="N34" s="98"/>
      <c r="O34" s="106"/>
      <c r="P34" s="114"/>
      <c r="Q34" s="114"/>
      <c r="R34" s="105"/>
      <c r="S34" s="105"/>
      <c r="T34" s="105"/>
      <c r="V34" s="105"/>
      <c r="W34" s="105" t="s">
        <v>394</v>
      </c>
      <c r="X34" s="105"/>
      <c r="Y34" s="105"/>
      <c r="Z34" s="120"/>
      <c r="AA34" s="120"/>
      <c r="AB34" s="105"/>
    </row>
    <row r="35" spans="1:28" x14ac:dyDescent="0.3">
      <c r="A35" s="106"/>
      <c r="B35" s="106"/>
      <c r="C35" s="106"/>
      <c r="D35" s="106"/>
      <c r="E35" s="106"/>
      <c r="F35" s="106"/>
      <c r="G35" s="106"/>
      <c r="H35" s="106"/>
      <c r="I35" s="106"/>
      <c r="J35" s="106"/>
      <c r="K35" s="106"/>
      <c r="L35" s="106"/>
      <c r="M35" s="106"/>
      <c r="N35" s="98"/>
      <c r="O35" s="106"/>
      <c r="P35" s="120"/>
      <c r="Q35" s="120"/>
      <c r="R35" s="105"/>
      <c r="S35" s="105"/>
      <c r="T35" s="105"/>
      <c r="U35" s="116"/>
      <c r="V35" s="122"/>
      <c r="W35" s="105"/>
      <c r="X35" s="105"/>
      <c r="Y35" s="105"/>
      <c r="Z35" s="120"/>
      <c r="AA35" s="120"/>
      <c r="AB35" s="105"/>
    </row>
    <row r="36" spans="1:28" x14ac:dyDescent="0.3">
      <c r="A36" s="110"/>
      <c r="B36" s="110"/>
      <c r="C36" s="110"/>
      <c r="D36" s="111"/>
      <c r="E36" s="111"/>
      <c r="F36" s="110"/>
      <c r="G36" s="111"/>
      <c r="H36" s="111"/>
      <c r="I36" s="112"/>
      <c r="J36" s="105"/>
      <c r="K36" s="105"/>
      <c r="L36" s="113"/>
      <c r="M36" s="113"/>
      <c r="O36" s="106"/>
      <c r="P36" s="120"/>
      <c r="Q36" s="120"/>
      <c r="R36" s="105"/>
      <c r="S36" s="105"/>
      <c r="T36" s="105"/>
      <c r="U36" s="116"/>
      <c r="V36" s="105"/>
      <c r="W36" s="105"/>
      <c r="X36" s="105"/>
      <c r="Y36" s="105"/>
      <c r="Z36" s="120"/>
      <c r="AA36" s="120"/>
      <c r="AB36" s="105"/>
    </row>
    <row r="37" spans="1:28" x14ac:dyDescent="0.3">
      <c r="A37" s="114"/>
      <c r="B37" s="115"/>
      <c r="C37" s="114"/>
      <c r="D37" s="116"/>
      <c r="E37" s="116"/>
      <c r="F37" s="116"/>
      <c r="G37" s="117"/>
      <c r="H37" s="177"/>
      <c r="I37" s="118"/>
      <c r="J37" s="106"/>
      <c r="K37" s="106"/>
      <c r="L37" s="119"/>
      <c r="M37" s="106"/>
      <c r="N37" s="98"/>
      <c r="O37" s="106"/>
      <c r="P37" s="114"/>
      <c r="Q37" s="114"/>
      <c r="R37" s="338"/>
      <c r="S37" s="339"/>
      <c r="T37" s="339"/>
      <c r="U37" s="122"/>
      <c r="V37" s="105"/>
      <c r="W37" s="105"/>
      <c r="X37" s="105"/>
      <c r="Y37" s="105"/>
      <c r="Z37" s="114"/>
      <c r="AA37" s="114"/>
      <c r="AB37" s="105"/>
    </row>
    <row r="38" spans="1:28" x14ac:dyDescent="0.3">
      <c r="A38" s="120"/>
      <c r="B38" s="121"/>
      <c r="C38" s="120"/>
      <c r="D38" s="122"/>
      <c r="E38" s="122"/>
      <c r="F38" s="122"/>
      <c r="G38" s="123"/>
      <c r="H38" s="178"/>
      <c r="I38" s="118"/>
      <c r="J38" s="106"/>
      <c r="K38" s="106"/>
      <c r="L38" s="119"/>
      <c r="M38" s="106"/>
      <c r="N38" s="98"/>
      <c r="O38" s="106"/>
      <c r="P38" s="120"/>
      <c r="Q38" s="120"/>
      <c r="R38" s="105"/>
      <c r="S38" s="105"/>
      <c r="T38" s="295" t="s">
        <v>35</v>
      </c>
      <c r="U38" s="295" t="s">
        <v>37</v>
      </c>
      <c r="V38" s="105"/>
      <c r="W38" s="105"/>
      <c r="X38" s="105"/>
      <c r="Y38" s="105"/>
      <c r="Z38" s="105"/>
      <c r="AA38" s="105"/>
      <c r="AB38" s="105"/>
    </row>
    <row r="39" spans="1:28" x14ac:dyDescent="0.3">
      <c r="A39" s="114"/>
      <c r="B39" s="115"/>
      <c r="C39" s="114"/>
      <c r="D39" s="116"/>
      <c r="E39" s="116"/>
      <c r="F39" s="116"/>
      <c r="G39" s="117"/>
      <c r="H39" s="177"/>
      <c r="I39" s="118"/>
      <c r="J39" s="106"/>
      <c r="K39" s="106"/>
      <c r="L39" s="119"/>
      <c r="M39" s="106"/>
      <c r="N39" s="98"/>
      <c r="O39" s="106"/>
      <c r="P39" s="120"/>
      <c r="Q39" s="120"/>
      <c r="R39" s="105"/>
      <c r="S39" s="105"/>
      <c r="T39" s="74" t="s">
        <v>44</v>
      </c>
      <c r="U39" s="74" t="s">
        <v>8</v>
      </c>
      <c r="V39" s="105"/>
      <c r="W39" s="105"/>
      <c r="X39" s="105"/>
      <c r="Y39" s="105"/>
      <c r="Z39" s="105"/>
      <c r="AA39" s="105"/>
      <c r="AB39" s="105"/>
    </row>
    <row r="40" spans="1:28" x14ac:dyDescent="0.3">
      <c r="A40" s="120"/>
      <c r="B40" s="121"/>
      <c r="C40" s="120"/>
      <c r="D40" s="122"/>
      <c r="E40" s="122"/>
      <c r="F40" s="122"/>
      <c r="G40" s="105"/>
      <c r="H40" s="178"/>
      <c r="I40" s="118"/>
      <c r="J40" s="106"/>
      <c r="K40" s="106"/>
      <c r="L40" s="119"/>
      <c r="M40" s="106"/>
      <c r="N40" s="98"/>
      <c r="O40" s="106"/>
      <c r="P40" s="120"/>
      <c r="Q40" s="120"/>
      <c r="R40" s="105"/>
      <c r="S40" s="105"/>
      <c r="T40" s="86" t="s">
        <v>49</v>
      </c>
      <c r="U40" s="86" t="s">
        <v>10</v>
      </c>
      <c r="V40" s="105"/>
      <c r="W40" s="105"/>
      <c r="X40" s="105"/>
      <c r="Y40" s="105"/>
      <c r="Z40" s="105"/>
    </row>
    <row r="41" spans="1:28" x14ac:dyDescent="0.3">
      <c r="A41" s="120"/>
      <c r="B41" s="121"/>
      <c r="C41" s="120"/>
      <c r="D41" s="122"/>
      <c r="E41" s="122"/>
      <c r="F41" s="122"/>
      <c r="G41" s="105"/>
      <c r="H41" s="178"/>
      <c r="I41" s="118"/>
      <c r="J41" s="106"/>
      <c r="K41" s="106"/>
      <c r="L41" s="119"/>
      <c r="M41" s="106"/>
      <c r="N41" s="98"/>
      <c r="O41" s="106"/>
      <c r="P41" s="114"/>
      <c r="Q41" s="114"/>
      <c r="R41" s="105"/>
      <c r="S41" s="105"/>
      <c r="T41" s="74" t="s">
        <v>62</v>
      </c>
      <c r="U41" s="74" t="s">
        <v>14</v>
      </c>
      <c r="V41" s="105"/>
      <c r="W41" s="105"/>
      <c r="X41" s="105"/>
      <c r="Y41" s="105"/>
      <c r="Z41" s="105"/>
    </row>
    <row r="42" spans="1:28" ht="23.4" x14ac:dyDescent="0.45">
      <c r="A42" s="114"/>
      <c r="B42" s="255"/>
      <c r="C42" s="255"/>
      <c r="D42" s="255"/>
      <c r="E42" s="255"/>
      <c r="F42" s="255"/>
      <c r="G42" s="255"/>
      <c r="H42" s="255"/>
      <c r="I42" s="118"/>
      <c r="J42" s="106"/>
      <c r="K42" s="106"/>
      <c r="L42" s="106"/>
      <c r="M42" s="106"/>
      <c r="N42" s="98"/>
      <c r="O42" s="106"/>
      <c r="P42" s="105"/>
      <c r="Q42" s="105"/>
      <c r="R42" s="105"/>
      <c r="S42" s="105"/>
      <c r="T42" s="86" t="s">
        <v>66</v>
      </c>
      <c r="U42" s="86" t="s">
        <v>13</v>
      </c>
      <c r="V42" s="105"/>
      <c r="W42" s="105"/>
      <c r="X42" s="105"/>
      <c r="Y42" s="105"/>
      <c r="Z42" s="105"/>
    </row>
    <row r="43" spans="1:28" ht="28.8" x14ac:dyDescent="0.55000000000000004">
      <c r="A43" s="120"/>
      <c r="B43" s="255"/>
      <c r="C43" s="314" t="s">
        <v>241</v>
      </c>
      <c r="D43" s="314"/>
      <c r="E43" s="314"/>
      <c r="F43" s="314"/>
      <c r="G43" s="314"/>
      <c r="H43" s="314"/>
      <c r="I43" s="315"/>
      <c r="J43" s="316"/>
      <c r="K43" s="316"/>
      <c r="L43" s="316"/>
      <c r="M43" s="316"/>
      <c r="N43" s="317"/>
      <c r="O43" s="317"/>
      <c r="P43" s="134"/>
      <c r="Q43" s="105"/>
      <c r="R43" s="105"/>
      <c r="S43" s="105"/>
      <c r="T43" s="86" t="s">
        <v>89</v>
      </c>
      <c r="U43" s="86" t="s">
        <v>23</v>
      </c>
      <c r="V43" s="105"/>
      <c r="W43" s="105"/>
      <c r="X43" s="105"/>
      <c r="Y43" s="105"/>
      <c r="Z43" s="105"/>
    </row>
    <row r="44" spans="1:28" ht="28.8" x14ac:dyDescent="0.55000000000000004">
      <c r="A44" s="106"/>
      <c r="B44" s="255"/>
      <c r="C44" s="314" t="s">
        <v>366</v>
      </c>
      <c r="D44" s="314"/>
      <c r="E44" s="314"/>
      <c r="F44" s="314"/>
      <c r="G44" s="314"/>
      <c r="H44" s="314"/>
      <c r="I44" s="316"/>
      <c r="J44" s="316"/>
      <c r="K44" s="316"/>
      <c r="L44" s="316"/>
      <c r="M44" s="316"/>
      <c r="N44" s="317"/>
      <c r="O44" s="317"/>
      <c r="P44" s="134"/>
      <c r="Q44" s="105"/>
      <c r="R44" s="105"/>
      <c r="S44" s="105"/>
      <c r="T44" s="74" t="s">
        <v>91</v>
      </c>
      <c r="U44" s="74" t="s">
        <v>24</v>
      </c>
      <c r="V44" s="105"/>
      <c r="W44" s="105"/>
      <c r="X44" s="105"/>
      <c r="Y44" s="105"/>
      <c r="Z44" s="105"/>
    </row>
    <row r="45" spans="1:28" ht="32.4" x14ac:dyDescent="0.85">
      <c r="A45" s="106"/>
      <c r="B45" s="255"/>
      <c r="C45" s="314" t="s">
        <v>365</v>
      </c>
      <c r="D45" s="314"/>
      <c r="E45" s="314"/>
      <c r="F45" s="314"/>
      <c r="G45" s="314"/>
      <c r="H45" s="314"/>
      <c r="I45" s="318"/>
      <c r="J45" s="314"/>
      <c r="K45" s="314"/>
      <c r="L45" s="314"/>
      <c r="M45" s="314"/>
      <c r="N45" s="134"/>
      <c r="O45" s="134"/>
      <c r="P45" s="134"/>
      <c r="Q45" s="105"/>
      <c r="R45" s="105"/>
      <c r="S45" s="105"/>
      <c r="T45" s="86" t="s">
        <v>93</v>
      </c>
      <c r="U45" s="86" t="s">
        <v>25</v>
      </c>
      <c r="V45" s="105"/>
      <c r="W45" s="105"/>
      <c r="X45" s="105"/>
      <c r="Y45" s="105"/>
      <c r="Z45" s="105"/>
    </row>
    <row r="46" spans="1:28" ht="23.4" x14ac:dyDescent="0.45">
      <c r="A46" s="106"/>
      <c r="B46" s="255"/>
      <c r="C46" s="255"/>
      <c r="D46" s="255"/>
      <c r="E46" s="255"/>
      <c r="F46" s="255"/>
      <c r="G46" s="255"/>
      <c r="H46" s="255"/>
      <c r="I46" s="105"/>
      <c r="J46" s="105"/>
      <c r="K46" s="105"/>
      <c r="L46" s="105"/>
      <c r="M46" s="105"/>
      <c r="N46" s="105"/>
      <c r="O46" s="125"/>
      <c r="P46" s="105"/>
      <c r="Q46" s="105"/>
      <c r="R46" s="105"/>
      <c r="S46" s="105"/>
      <c r="T46" s="86" t="s">
        <v>97</v>
      </c>
      <c r="U46" s="86" t="s">
        <v>26</v>
      </c>
      <c r="V46" s="105"/>
      <c r="W46" s="105"/>
      <c r="X46" s="105"/>
      <c r="Y46" s="105"/>
      <c r="Z46" s="105"/>
    </row>
    <row r="47" spans="1:28" x14ac:dyDescent="0.3">
      <c r="A47" s="106"/>
      <c r="L47" s="105"/>
      <c r="M47" s="105"/>
      <c r="N47" s="105"/>
      <c r="O47" s="105"/>
      <c r="P47" s="105"/>
      <c r="Q47" s="105"/>
      <c r="R47" s="105"/>
      <c r="S47" s="105"/>
      <c r="T47" s="86" t="s">
        <v>102</v>
      </c>
      <c r="U47" s="86" t="s">
        <v>28</v>
      </c>
      <c r="V47" s="105"/>
      <c r="W47" s="105"/>
      <c r="X47" s="105"/>
      <c r="Y47" s="105"/>
      <c r="Z47" s="105"/>
    </row>
    <row r="48" spans="1:28" x14ac:dyDescent="0.3">
      <c r="A48" s="106"/>
      <c r="L48" s="105"/>
      <c r="M48" s="105"/>
      <c r="O48" s="105"/>
      <c r="P48" s="105"/>
      <c r="Q48" s="105"/>
      <c r="R48" s="105"/>
      <c r="S48" s="105"/>
      <c r="T48" s="93" t="s">
        <v>119</v>
      </c>
      <c r="U48" s="93" t="s">
        <v>120</v>
      </c>
      <c r="V48" s="105"/>
      <c r="W48" s="105"/>
      <c r="X48" s="105"/>
      <c r="Y48" s="105"/>
      <c r="Z48" s="105"/>
    </row>
    <row r="49" spans="1:19" x14ac:dyDescent="0.3">
      <c r="A49" s="106"/>
      <c r="L49" s="105"/>
      <c r="M49" s="105"/>
      <c r="O49" s="105"/>
      <c r="P49" s="105"/>
      <c r="Q49" s="110"/>
      <c r="R49" s="110"/>
      <c r="S49" s="105"/>
    </row>
    <row r="50" spans="1:19" x14ac:dyDescent="0.3">
      <c r="A50" s="106"/>
      <c r="L50" s="105"/>
      <c r="M50" s="105"/>
      <c r="Q50" s="114"/>
      <c r="R50" s="114"/>
    </row>
    <row r="51" spans="1:19" ht="16.2" thickBot="1" x14ac:dyDescent="0.35">
      <c r="A51" s="106"/>
      <c r="L51" s="105"/>
      <c r="M51" s="105"/>
      <c r="Q51" s="120"/>
      <c r="R51" s="120"/>
    </row>
    <row r="52" spans="1:19" ht="28.8" x14ac:dyDescent="0.55000000000000004">
      <c r="B52" s="302"/>
      <c r="C52" s="306" t="s">
        <v>367</v>
      </c>
      <c r="D52" s="306"/>
      <c r="E52" s="306"/>
      <c r="F52" s="303"/>
      <c r="G52" s="304"/>
      <c r="H52" s="304"/>
      <c r="I52" s="304"/>
      <c r="J52" s="304"/>
      <c r="K52" s="304"/>
      <c r="L52" s="304"/>
      <c r="M52" s="304"/>
      <c r="N52" s="296"/>
      <c r="O52" s="296"/>
      <c r="P52" s="297"/>
      <c r="Q52" s="114"/>
      <c r="R52" s="114"/>
    </row>
    <row r="53" spans="1:19" ht="28.8" x14ac:dyDescent="0.55000000000000004">
      <c r="B53" s="305"/>
      <c r="F53" s="307"/>
      <c r="G53" s="308"/>
      <c r="H53" s="308"/>
      <c r="I53" s="308"/>
      <c r="J53" s="308"/>
      <c r="K53" s="308"/>
      <c r="L53" s="308"/>
      <c r="M53" s="308"/>
      <c r="P53" s="299"/>
      <c r="Q53" s="120"/>
      <c r="R53" s="120"/>
    </row>
    <row r="54" spans="1:19" ht="28.8" x14ac:dyDescent="0.55000000000000004">
      <c r="B54" s="305"/>
      <c r="C54" s="307"/>
      <c r="D54" s="307"/>
      <c r="E54" s="307"/>
      <c r="F54" s="307"/>
      <c r="G54" s="308"/>
      <c r="H54" s="308"/>
      <c r="I54" s="308"/>
      <c r="J54" s="308"/>
      <c r="K54" s="308"/>
      <c r="L54" s="308"/>
      <c r="M54" s="308"/>
      <c r="P54" s="299"/>
      <c r="Q54" s="120"/>
      <c r="R54" s="120"/>
    </row>
    <row r="55" spans="1:19" ht="28.8" x14ac:dyDescent="0.55000000000000004">
      <c r="B55" s="309">
        <v>1</v>
      </c>
      <c r="C55" s="308" t="s">
        <v>368</v>
      </c>
      <c r="D55" s="308"/>
      <c r="E55" s="308"/>
      <c r="F55" s="308"/>
      <c r="G55" s="308"/>
      <c r="H55" s="308"/>
      <c r="I55" s="310"/>
      <c r="J55" s="310"/>
      <c r="K55" s="310"/>
      <c r="L55" s="308"/>
      <c r="M55" s="308"/>
      <c r="P55" s="299"/>
      <c r="Q55" s="114"/>
      <c r="R55" s="114"/>
    </row>
    <row r="56" spans="1:19" ht="28.8" x14ac:dyDescent="0.55000000000000004">
      <c r="B56" s="309"/>
      <c r="C56" s="308"/>
      <c r="D56" s="308"/>
      <c r="E56" s="308"/>
      <c r="F56" s="308"/>
      <c r="G56" s="308"/>
      <c r="H56" s="308"/>
      <c r="I56" s="310"/>
      <c r="J56" s="310"/>
      <c r="K56" s="310"/>
      <c r="L56" s="308"/>
      <c r="M56" s="308"/>
      <c r="P56" s="299"/>
      <c r="Q56" s="120"/>
      <c r="R56" s="120"/>
    </row>
    <row r="57" spans="1:19" ht="28.8" x14ac:dyDescent="0.55000000000000004">
      <c r="B57" s="309">
        <v>2</v>
      </c>
      <c r="C57" s="308" t="s">
        <v>242</v>
      </c>
      <c r="D57" s="308"/>
      <c r="E57" s="308"/>
      <c r="F57" s="308"/>
      <c r="G57" s="308"/>
      <c r="H57" s="308"/>
      <c r="I57" s="310"/>
      <c r="J57" s="310"/>
      <c r="K57" s="310"/>
      <c r="L57" s="308"/>
      <c r="M57" s="308"/>
      <c r="P57" s="299"/>
      <c r="Q57" s="120"/>
      <c r="R57" s="120"/>
    </row>
    <row r="58" spans="1:19" ht="28.8" x14ac:dyDescent="0.55000000000000004">
      <c r="B58" s="309"/>
      <c r="C58" s="308"/>
      <c r="D58" s="308"/>
      <c r="E58" s="308"/>
      <c r="F58" s="308"/>
      <c r="G58" s="308"/>
      <c r="H58" s="308"/>
      <c r="I58" s="310"/>
      <c r="J58" s="310"/>
      <c r="K58" s="310"/>
      <c r="L58" s="308"/>
      <c r="M58" s="308"/>
      <c r="P58" s="299"/>
      <c r="Q58" s="120"/>
      <c r="R58" s="120"/>
    </row>
    <row r="59" spans="1:19" ht="29.4" thickBot="1" x14ac:dyDescent="0.6">
      <c r="B59" s="311">
        <v>3</v>
      </c>
      <c r="C59" s="312" t="s">
        <v>243</v>
      </c>
      <c r="D59" s="312"/>
      <c r="E59" s="312"/>
      <c r="F59" s="312"/>
      <c r="G59" s="312"/>
      <c r="H59" s="312"/>
      <c r="I59" s="313"/>
      <c r="J59" s="313"/>
      <c r="K59" s="313"/>
      <c r="L59" s="312"/>
      <c r="M59" s="312"/>
      <c r="N59" s="300"/>
      <c r="O59" s="300"/>
      <c r="P59" s="301"/>
      <c r="Q59" s="114"/>
      <c r="R59" s="114"/>
    </row>
    <row r="60" spans="1:19" x14ac:dyDescent="0.3">
      <c r="Q60" s="105"/>
      <c r="R60" s="105"/>
    </row>
  </sheetData>
  <mergeCells count="2">
    <mergeCell ref="F32:M32"/>
    <mergeCell ref="S1:T1"/>
  </mergeCells>
  <pageMargins left="0.7" right="0.7" top="0.75" bottom="0.75" header="0.3" footer="0.3"/>
  <pageSetup paperSize="9"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17</vt:i4>
      </vt:variant>
      <vt:variant>
        <vt:lpstr>טווחים בעלי שם</vt:lpstr>
      </vt:variant>
      <vt:variant>
        <vt:i4>11</vt:i4>
      </vt:variant>
    </vt:vector>
  </HeadingPairs>
  <TitlesOfParts>
    <vt:vector size="28" baseType="lpstr">
      <vt:lpstr>הגיליון הכי חשוב</vt:lpstr>
      <vt:lpstr>פעמיים VLOOKUP</vt:lpstr>
      <vt:lpstr>DATE</vt:lpstr>
      <vt:lpstr>תנאי בתוך תנאי</vt:lpstr>
      <vt:lpstr>AverageIf</vt:lpstr>
      <vt:lpstr>חתירה למטרה 1</vt:lpstr>
      <vt:lpstr>חתירה למטרה 2</vt:lpstr>
      <vt:lpstr>countIf</vt:lpstr>
      <vt:lpstr>סינון מתקדם1</vt:lpstr>
      <vt:lpstr>גיליון1</vt:lpstr>
      <vt:lpstr>תוצאות סינון מתקדם 1</vt:lpstr>
      <vt:lpstr>סינון מתקדם2</vt:lpstr>
      <vt:lpstr>תוצאות סינון מתקדם 2</vt:lpstr>
      <vt:lpstr>VlookUp</vt:lpstr>
      <vt:lpstr>FREQUENCY</vt:lpstr>
      <vt:lpstr>Dsum</vt:lpstr>
      <vt:lpstr>ריבוי תנאים</vt:lpstr>
      <vt:lpstr>Dsum!Criteria</vt:lpstr>
      <vt:lpstr>'סינון מתקדם1'!Criteria</vt:lpstr>
      <vt:lpstr>'סינון מתקדם2'!Criteria</vt:lpstr>
      <vt:lpstr>'פעמיים VLOOKUP'!Criteria</vt:lpstr>
      <vt:lpstr>'ריבוי תנאים'!Criteria</vt:lpstr>
      <vt:lpstr>AverageIf!Extract</vt:lpstr>
      <vt:lpstr>Dsum!Extract</vt:lpstr>
      <vt:lpstr>'סינון מתקדם1'!Extract</vt:lpstr>
      <vt:lpstr>'סינון מתקדם2'!Extract</vt:lpstr>
      <vt:lpstr>'פעמיים VLOOKUP'!Extract</vt:lpstr>
      <vt:lpstr>'ריבוי תנאים'!Extract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משתמש</dc:creator>
  <cp:lastModifiedBy>Halamish Moran</cp:lastModifiedBy>
  <dcterms:created xsi:type="dcterms:W3CDTF">2015-06-05T18:19:34Z</dcterms:created>
  <dcterms:modified xsi:type="dcterms:W3CDTF">2024-02-28T21:10:33Z</dcterms:modified>
</cp:coreProperties>
</file>